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Laura Graba\OneDrive - GECT GO EZTS GO\LAURA\AMMINISTRAZIONE TRASPARENTE\"/>
    </mc:Choice>
  </mc:AlternateContent>
  <xr:revisionPtr revIDLastSave="19" documentId="8_{75FEBFC5-03C3-40EB-9D1C-49632D44BBD8}" xr6:coauthVersionLast="43" xr6:coauthVersionMax="43" xr10:uidLastSave="{8655DD4B-9F37-4BE8-8EE3-9C301D46AA12}"/>
  <bookViews>
    <workbookView xWindow="-120" yWindow="-120" windowWidth="21840" windowHeight="13140" tabRatio="594" xr2:uid="{00000000-000D-0000-FFFF-FFFF00000000}"/>
  </bookViews>
  <sheets>
    <sheet name="C.ECON.2019-2021 FINAL" sheetId="14" r:id="rId1"/>
  </sheets>
  <definedNames>
    <definedName name="__xlnm_Print_Area" localSheetId="0">'C.ECON.2019-2021 FINAL'!$B$96:$B$183</definedName>
    <definedName name="_xlnm.Print_Area" localSheetId="0">'C.ECON.2019-2021 FINAL'!$B:$J</definedName>
    <definedName name="Excel_BuiltIn_Print_Area" localSheetId="0">'C.ECON.2019-2021 FINAL'!$B$2:$B$172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0" i="14" l="1"/>
  <c r="G100" i="14"/>
  <c r="J131" i="14"/>
  <c r="J122" i="14" s="1"/>
  <c r="H131" i="14"/>
  <c r="J170" i="14"/>
  <c r="J156" i="14"/>
  <c r="J155" i="14"/>
  <c r="J152" i="14"/>
  <c r="J162" i="14"/>
  <c r="I162" i="14"/>
  <c r="H162" i="14"/>
  <c r="H160" i="14" s="1"/>
  <c r="J147" i="14"/>
  <c r="I147" i="14"/>
  <c r="H147" i="14"/>
  <c r="J145" i="14"/>
  <c r="J146" i="14"/>
  <c r="I146" i="14"/>
  <c r="I145" i="14" s="1"/>
  <c r="H146" i="14"/>
  <c r="H145" i="14" s="1"/>
  <c r="H115" i="14"/>
  <c r="G138" i="14"/>
  <c r="G105" i="14"/>
  <c r="E138" i="14"/>
  <c r="I122" i="14"/>
  <c r="E122" i="14"/>
  <c r="E115" i="14"/>
  <c r="I170" i="14"/>
  <c r="G170" i="14"/>
  <c r="J168" i="14"/>
  <c r="I168" i="14"/>
  <c r="H168" i="14"/>
  <c r="G168" i="14"/>
  <c r="J167" i="14"/>
  <c r="I167" i="14"/>
  <c r="H167" i="14"/>
  <c r="G167" i="14"/>
  <c r="E167" i="14"/>
  <c r="J164" i="14"/>
  <c r="I164" i="14"/>
  <c r="H164" i="14"/>
  <c r="G164" i="14"/>
  <c r="E164" i="14"/>
  <c r="J160" i="14"/>
  <c r="I160" i="14"/>
  <c r="G160" i="14"/>
  <c r="J157" i="14"/>
  <c r="I157" i="14"/>
  <c r="H157" i="14"/>
  <c r="G157" i="14"/>
  <c r="E157" i="14"/>
  <c r="I156" i="14"/>
  <c r="I154" i="14" s="1"/>
  <c r="H156" i="14"/>
  <c r="H154" i="14" s="1"/>
  <c r="J154" i="14"/>
  <c r="G154" i="14"/>
  <c r="E154" i="14"/>
  <c r="G153" i="14"/>
  <c r="J151" i="14"/>
  <c r="I151" i="14"/>
  <c r="I150" i="14" s="1"/>
  <c r="H151" i="14"/>
  <c r="G151" i="14"/>
  <c r="E151" i="14"/>
  <c r="E150" i="14"/>
  <c r="G146" i="14"/>
  <c r="G145" i="14" s="1"/>
  <c r="E145" i="14"/>
  <c r="H143" i="14"/>
  <c r="H138" i="14" s="1"/>
  <c r="J138" i="14"/>
  <c r="I138" i="14"/>
  <c r="J136" i="14"/>
  <c r="I136" i="14"/>
  <c r="H136" i="14"/>
  <c r="G136" i="14"/>
  <c r="E136" i="14"/>
  <c r="J134" i="14"/>
  <c r="I134" i="14"/>
  <c r="I114" i="14" s="1"/>
  <c r="I111" i="14" s="1"/>
  <c r="H134" i="14"/>
  <c r="G134" i="14"/>
  <c r="E134" i="14"/>
  <c r="H129" i="14"/>
  <c r="H122" i="14" s="1"/>
  <c r="G128" i="14"/>
  <c r="G122" i="14" s="1"/>
  <c r="J120" i="14"/>
  <c r="J114" i="14" s="1"/>
  <c r="I120" i="14"/>
  <c r="H120" i="14"/>
  <c r="H114" i="14" s="1"/>
  <c r="E120" i="14"/>
  <c r="G120" i="14"/>
  <c r="G118" i="14"/>
  <c r="G117" i="14"/>
  <c r="G116" i="14"/>
  <c r="G115" i="14" s="1"/>
  <c r="G114" i="14" s="1"/>
  <c r="J115" i="14"/>
  <c r="I115" i="14"/>
  <c r="J112" i="14"/>
  <c r="I112" i="14"/>
  <c r="H112" i="14"/>
  <c r="G112" i="14"/>
  <c r="E112" i="14"/>
  <c r="G107" i="14"/>
  <c r="E107" i="14"/>
  <c r="E106" i="14"/>
  <c r="G104" i="14"/>
  <c r="E105" i="14"/>
  <c r="E104" i="14" s="1"/>
  <c r="J104" i="14"/>
  <c r="I104" i="14"/>
  <c r="I99" i="14" s="1"/>
  <c r="I169" i="14" s="1"/>
  <c r="I171" i="14" s="1"/>
  <c r="I172" i="14" s="1"/>
  <c r="H104" i="14"/>
  <c r="G102" i="14"/>
  <c r="G101" i="14"/>
  <c r="E102" i="14"/>
  <c r="J101" i="14"/>
  <c r="J99" i="14" s="1"/>
  <c r="I101" i="14"/>
  <c r="H101" i="14"/>
  <c r="E101" i="14"/>
  <c r="E99" i="14" s="1"/>
  <c r="H86" i="14"/>
  <c r="G85" i="14"/>
  <c r="E84" i="14"/>
  <c r="G84" i="14"/>
  <c r="G82" i="14" s="1"/>
  <c r="G23" i="14" s="1"/>
  <c r="C84" i="14"/>
  <c r="E83" i="14"/>
  <c r="C83" i="14"/>
  <c r="C82" i="14" s="1"/>
  <c r="C23" i="14" s="1"/>
  <c r="H81" i="14"/>
  <c r="I81" i="14" s="1"/>
  <c r="J81" i="14" s="1"/>
  <c r="H80" i="14"/>
  <c r="I80" i="14"/>
  <c r="J80" i="14" s="1"/>
  <c r="E79" i="14"/>
  <c r="G79" i="14" s="1"/>
  <c r="H79" i="14" s="1"/>
  <c r="I79" i="14" s="1"/>
  <c r="J79" i="14" s="1"/>
  <c r="E78" i="14"/>
  <c r="G78" i="14" s="1"/>
  <c r="H78" i="14" s="1"/>
  <c r="I78" i="14" s="1"/>
  <c r="J78" i="14" s="1"/>
  <c r="E77" i="14"/>
  <c r="G77" i="14" s="1"/>
  <c r="C76" i="14"/>
  <c r="E75" i="14"/>
  <c r="G75" i="14"/>
  <c r="G74" i="14"/>
  <c r="G73" i="14"/>
  <c r="G71" i="14"/>
  <c r="G70" i="14"/>
  <c r="G69" i="14"/>
  <c r="G67" i="14"/>
  <c r="G66" i="14"/>
  <c r="E67" i="14"/>
  <c r="E66" i="14" s="1"/>
  <c r="C66" i="14"/>
  <c r="E64" i="14"/>
  <c r="C64" i="14"/>
  <c r="E61" i="14"/>
  <c r="G61" i="14"/>
  <c r="G60" i="14"/>
  <c r="G59" i="14"/>
  <c r="G58" i="14" s="1"/>
  <c r="C58" i="14"/>
  <c r="G57" i="14"/>
  <c r="G56" i="14"/>
  <c r="G55" i="14"/>
  <c r="G54" i="14"/>
  <c r="C54" i="14"/>
  <c r="C49" i="14" s="1"/>
  <c r="G53" i="14"/>
  <c r="G52" i="14"/>
  <c r="G51" i="14"/>
  <c r="G50" i="14"/>
  <c r="E49" i="14"/>
  <c r="E47" i="14"/>
  <c r="G47" i="14"/>
  <c r="H47" i="14" s="1"/>
  <c r="H43" i="14" s="1"/>
  <c r="J46" i="14"/>
  <c r="E46" i="14"/>
  <c r="G46" i="14" s="1"/>
  <c r="J44" i="14"/>
  <c r="J43" i="14" s="1"/>
  <c r="G44" i="14"/>
  <c r="I44" i="14" s="1"/>
  <c r="C43" i="14"/>
  <c r="G42" i="14"/>
  <c r="J41" i="14"/>
  <c r="I41" i="14"/>
  <c r="H41" i="14"/>
  <c r="G41" i="14"/>
  <c r="E41" i="14"/>
  <c r="C41" i="14"/>
  <c r="H38" i="14"/>
  <c r="E35" i="14"/>
  <c r="M33" i="14"/>
  <c r="K33" i="14"/>
  <c r="F33" i="14"/>
  <c r="D33" i="14"/>
  <c r="C33" i="14"/>
  <c r="B33" i="14"/>
  <c r="M32" i="14"/>
  <c r="L32" i="14"/>
  <c r="F32" i="14"/>
  <c r="D32" i="14"/>
  <c r="B32" i="14"/>
  <c r="M31" i="14"/>
  <c r="L31" i="14"/>
  <c r="F31" i="14"/>
  <c r="D31" i="14"/>
  <c r="B31" i="14"/>
  <c r="J26" i="14"/>
  <c r="I26" i="14"/>
  <c r="H26" i="14"/>
  <c r="G26" i="14"/>
  <c r="J25" i="14"/>
  <c r="I25" i="14"/>
  <c r="H25" i="14"/>
  <c r="E25" i="14"/>
  <c r="E23" i="14" s="1"/>
  <c r="G25" i="14"/>
  <c r="C25" i="14"/>
  <c r="J24" i="14"/>
  <c r="I24" i="14"/>
  <c r="H24" i="14"/>
  <c r="E24" i="14"/>
  <c r="C24" i="14"/>
  <c r="M23" i="14"/>
  <c r="L23" i="14"/>
  <c r="K23" i="14"/>
  <c r="F23" i="14"/>
  <c r="D23" i="14"/>
  <c r="B23" i="14"/>
  <c r="J20" i="14"/>
  <c r="J33" i="14" s="1"/>
  <c r="J85" i="14"/>
  <c r="I20" i="14"/>
  <c r="I85" i="14" s="1"/>
  <c r="H20" i="14"/>
  <c r="H33" i="14"/>
  <c r="G20" i="14"/>
  <c r="G33" i="14" s="1"/>
  <c r="E20" i="14"/>
  <c r="E33" i="14" s="1"/>
  <c r="J19" i="14"/>
  <c r="J84" i="14" s="1"/>
  <c r="I19" i="14"/>
  <c r="I84" i="14" s="1"/>
  <c r="I32" i="14"/>
  <c r="H19" i="14"/>
  <c r="H32" i="14" s="1"/>
  <c r="E19" i="14"/>
  <c r="E32" i="14"/>
  <c r="C19" i="14"/>
  <c r="G19" i="14" s="1"/>
  <c r="K19" i="14" s="1"/>
  <c r="K32" i="14" s="1"/>
  <c r="J18" i="14"/>
  <c r="J31" i="14"/>
  <c r="I18" i="14"/>
  <c r="I83" i="14" s="1"/>
  <c r="I82" i="14" s="1"/>
  <c r="I23" i="14" s="1"/>
  <c r="H18" i="14"/>
  <c r="H31" i="14" s="1"/>
  <c r="E18" i="14"/>
  <c r="E31" i="14" s="1"/>
  <c r="E30" i="14" s="1"/>
  <c r="C18" i="14"/>
  <c r="G18" i="14" s="1"/>
  <c r="C31" i="14"/>
  <c r="C17" i="14"/>
  <c r="G17" i="14" s="1"/>
  <c r="L17" i="14"/>
  <c r="G15" i="14"/>
  <c r="G14" i="14"/>
  <c r="J13" i="14"/>
  <c r="I13" i="14"/>
  <c r="H13" i="14"/>
  <c r="H83" i="14" s="1"/>
  <c r="H82" i="14" s="1"/>
  <c r="H23" i="14" s="1"/>
  <c r="E13" i="14"/>
  <c r="C13" i="14"/>
  <c r="E12" i="14"/>
  <c r="G12" i="14"/>
  <c r="L12" i="14"/>
  <c r="C12" i="14"/>
  <c r="E11" i="14"/>
  <c r="G11" i="14"/>
  <c r="K11" i="14"/>
  <c r="E10" i="14"/>
  <c r="G10" i="14"/>
  <c r="C10" i="14"/>
  <c r="C8" i="14" s="1"/>
  <c r="C7" i="14" s="1"/>
  <c r="E9" i="14"/>
  <c r="E8" i="14" s="1"/>
  <c r="E7" i="14" s="1"/>
  <c r="E28" i="14" s="1"/>
  <c r="C9" i="14"/>
  <c r="J8" i="14"/>
  <c r="I8" i="14"/>
  <c r="I7" i="14" s="1"/>
  <c r="H8" i="14"/>
  <c r="H7" i="14" s="1"/>
  <c r="E58" i="14"/>
  <c r="J6" i="14"/>
  <c r="G49" i="14"/>
  <c r="E6" i="14"/>
  <c r="F3" i="14" s="1"/>
  <c r="E72" i="14"/>
  <c r="H99" i="14"/>
  <c r="G24" i="14"/>
  <c r="E82" i="14"/>
  <c r="G13" i="14"/>
  <c r="K13" i="14" s="1"/>
  <c r="G72" i="14"/>
  <c r="H77" i="14"/>
  <c r="G32" i="14"/>
  <c r="C6" i="14"/>
  <c r="J83" i="14"/>
  <c r="J82" i="14"/>
  <c r="J23" i="14" s="1"/>
  <c r="H84" i="14"/>
  <c r="H85" i="14"/>
  <c r="I6" i="14"/>
  <c r="J7" i="14"/>
  <c r="J32" i="14"/>
  <c r="G83" i="14"/>
  <c r="K18" i="14" l="1"/>
  <c r="K31" i="14" s="1"/>
  <c r="G31" i="14"/>
  <c r="G30" i="14" s="1"/>
  <c r="I46" i="14"/>
  <c r="I43" i="14" s="1"/>
  <c r="G43" i="14"/>
  <c r="G76" i="14"/>
  <c r="H76" i="14"/>
  <c r="J76" i="14"/>
  <c r="I77" i="14"/>
  <c r="I76" i="14" s="1"/>
  <c r="E76" i="14"/>
  <c r="E62" i="14" s="1"/>
  <c r="G62" i="14" s="1"/>
  <c r="G9" i="14"/>
  <c r="G8" i="14" s="1"/>
  <c r="J150" i="14"/>
  <c r="J111" i="14" s="1"/>
  <c r="J169" i="14" s="1"/>
  <c r="J171" i="14" s="1"/>
  <c r="J172" i="14" s="1"/>
  <c r="I33" i="14"/>
  <c r="I31" i="14"/>
  <c r="E43" i="14"/>
  <c r="E5" i="14" s="1"/>
  <c r="E3" i="14" s="1"/>
  <c r="G99" i="14"/>
  <c r="G150" i="14"/>
  <c r="G111" i="14" s="1"/>
  <c r="C32" i="14"/>
  <c r="L20" i="14"/>
  <c r="L33" i="14" s="1"/>
  <c r="H6" i="14"/>
  <c r="H150" i="14"/>
  <c r="H111" i="14" s="1"/>
  <c r="H169" i="14" s="1"/>
  <c r="H171" i="14" s="1"/>
  <c r="H172" i="14" s="1"/>
  <c r="E114" i="14"/>
  <c r="E111" i="14" s="1"/>
  <c r="E169" i="14" s="1"/>
  <c r="E171" i="14" s="1"/>
  <c r="E172" i="14" s="1"/>
  <c r="G169" i="14" l="1"/>
  <c r="G171" i="14" s="1"/>
  <c r="G172" i="14" s="1"/>
  <c r="G6" i="14"/>
  <c r="K6" i="14" s="1"/>
  <c r="K8" i="14"/>
  <c r="G7" i="14"/>
  <c r="K7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Curto</author>
    <author>Laura Graba</author>
  </authors>
  <commentList>
    <comment ref="B113" authorId="0" shapeId="0" xr:uid="{91101872-AD50-4B25-BBA5-FC69EE404E6A}">
      <text>
        <r>
          <rPr>
            <b/>
            <sz val="9"/>
            <color indexed="81"/>
            <rFont val="Tahoma"/>
            <family val="2"/>
          </rPr>
          <t>Tanja Curto:</t>
        </r>
        <r>
          <rPr>
            <sz val="9"/>
            <color indexed="81"/>
            <rFont val="Tahoma"/>
            <family val="2"/>
          </rPr>
          <t xml:space="preserve">
 (Trost cancelleria 623,81, stampati, carta ns.Graba 30/11 28,80)</t>
        </r>
      </text>
    </comment>
    <comment ref="G123" authorId="1" shapeId="0" xr:uid="{DE4215A1-A743-419F-B43D-55F59FB23C7B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Verdimonti
</t>
        </r>
      </text>
    </comment>
    <comment ref="H125" authorId="1" shapeId="0" xr:uid="{3B3D751C-A12A-4175-8028-B43594B7D447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6" authorId="1" shapeId="0" xr:uid="{E1C0BD46-65E8-43DA-A89F-900F8996B48D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corso formazione programma contabilità
</t>
        </r>
      </text>
    </comment>
    <comment ref="H127" authorId="1" shapeId="0" xr:uid="{ADBE03C6-123B-4994-8BD2-32EB9D13A594}">
      <text>
        <r>
          <rPr>
            <b/>
            <sz val="9"/>
            <color indexed="81"/>
            <rFont val="Tahoma"/>
            <family val="2"/>
          </rPr>
          <t xml:space="preserve">Laura Graba: formazione programma cespiti , timbratore ecc..
</t>
        </r>
      </text>
    </comment>
    <comment ref="H129" authorId="1" shapeId="0" xr:uid="{25047E7C-746F-41FF-BD08-B6D725D93A43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medico competente + formazione antincendio
</t>
        </r>
      </text>
    </comment>
    <comment ref="H132" authorId="1" shapeId="0" xr:uid="{08A2CBFB-C4A2-4306-BFBD-FC98B7AAA712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incarico batistic
</t>
        </r>
      </text>
    </comment>
    <comment ref="G133" authorId="1" shapeId="0" xr:uid="{C95291D6-2BFD-4B2E-876E-0A981373D04C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fusco
</t>
        </r>
      </text>
    </comment>
    <comment ref="H140" authorId="1" shapeId="0" xr:uid="{ED132811-DD83-4221-8388-6D695B53BE35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elaborazione paghe + consulenza 700+IVA
</t>
        </r>
      </text>
    </comment>
    <comment ref="E141" authorId="1" shapeId="0" xr:uid="{41E5C3D6-603F-4DE9-A411-3E3ECDABF0C4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cassetta ps+varie pulizia+copia chiave ecc..
</t>
        </r>
      </text>
    </comment>
    <comment ref="G146" authorId="1" shapeId="0" xr:uid="{A956B94F-D110-448F-B543-EF143D272529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sistemi, contabilità+aruba+halley
</t>
        </r>
      </text>
    </comment>
    <comment ref="G147" authorId="1" shapeId="0" xr:uid="{90702F63-D351-4C1F-B107-58A0D2058525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allin fotocopiatrice</t>
        </r>
      </text>
    </comment>
    <comment ref="G149" authorId="1" shapeId="0" xr:uid="{033EBFD2-ACE4-4899-9E70-0936A1B6ACD2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tavoli assemblea</t>
        </r>
      </text>
    </comment>
    <comment ref="G161" authorId="1" shapeId="0" xr:uid="{6A42BD7B-7AD6-4CA9-AF11-0B9086E99B8F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(halley+amebis+pr.contabilità = 1822,13)+ (sito web 1663,10) + (nuovo pr.timbratura 243,98)</t>
        </r>
      </text>
    </comment>
    <comment ref="G162" authorId="1" shapeId="0" xr:uid="{18F6D442-931E-4853-B771-524ADF2AFD07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(imp.cell 251,93+42,21) + (computer 266,56+322,26)+ (imp.telef combo 58,56)+(tavoli ikea 204,55) + (bidule 878,40)
</t>
        </r>
      </text>
    </comment>
    <comment ref="G168" authorId="1" shapeId="0" xr:uid="{9E447031-4E71-40B8-8E8C-3699D7A5FF36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interessi 0,80 calcolati su 180000,00</t>
        </r>
      </text>
    </comment>
    <comment ref="H168" authorId="1" shapeId="0" xr:uid="{C27FFD8E-1B89-4F88-B6D3-1C518EE04CA7}">
      <text>
        <r>
          <rPr>
            <b/>
            <sz val="9"/>
            <color indexed="81"/>
            <rFont val="Tahoma"/>
            <family val="2"/>
          </rPr>
          <t>Laura Graba:</t>
        </r>
        <r>
          <rPr>
            <sz val="9"/>
            <color indexed="81"/>
            <rFont val="Tahoma"/>
            <family val="2"/>
          </rPr>
          <t xml:space="preserve">
interessi 0,80 calcolati su 500000,00</t>
        </r>
      </text>
    </comment>
  </commentList>
</comments>
</file>

<file path=xl/sharedStrings.xml><?xml version="1.0" encoding="utf-8"?>
<sst xmlns="http://schemas.openxmlformats.org/spreadsheetml/2006/main" count="848" uniqueCount="275">
  <si>
    <t>descriz.speso al27/11/2018</t>
  </si>
  <si>
    <t>ITI</t>
  </si>
  <si>
    <t xml:space="preserve">Costo personale su progetti ITI </t>
  </si>
  <si>
    <t>(COMP.2018= 169759,98)</t>
  </si>
  <si>
    <t>(COMP.2018= 54248,07)</t>
  </si>
  <si>
    <t>(già inc.86168,67 inserito il 2° e 3° per fine anno)</t>
  </si>
  <si>
    <t>(già inc.48133,85 inserito il 2° e 3° per fine anno)</t>
  </si>
  <si>
    <t>speso al 30/11/2018</t>
  </si>
  <si>
    <t>Totale prevista chiusura 2018</t>
  </si>
  <si>
    <t>Preventivo 2019</t>
  </si>
  <si>
    <t xml:space="preserve">Preventivo 2020 </t>
  </si>
  <si>
    <t>Preventivo 2021</t>
  </si>
  <si>
    <t>poraba na dan 30/11/2018</t>
  </si>
  <si>
    <t>Predviden izkaz konec 2018</t>
  </si>
  <si>
    <t>Proračun 2019</t>
  </si>
  <si>
    <t>Proračun 2020</t>
  </si>
  <si>
    <t>Proračun 2021</t>
  </si>
  <si>
    <t>CON SCRITTURE AL 31.12</t>
  </si>
  <si>
    <t>Stato Patrimoniale</t>
  </si>
  <si>
    <t>ATTIVITA’</t>
  </si>
  <si>
    <t>IMMOBILIZZAZIONI</t>
  </si>
  <si>
    <t>da sommare costo pers.2022</t>
  </si>
  <si>
    <t>TOTALE PROGETTI ITI / CYCLEWALK (conteggio solo per noi inserito anche 15%)</t>
  </si>
  <si>
    <t>Attività Progetti ITI / Aktivnosti Projekti CTN</t>
  </si>
  <si>
    <t>Salute</t>
  </si>
  <si>
    <t>Isonzo</t>
  </si>
  <si>
    <r>
      <t xml:space="preserve">Attività Progetti ITI / Aktivnosti Projekti CTN </t>
    </r>
    <r>
      <rPr>
        <u/>
        <sz val="10"/>
        <color theme="1"/>
        <rFont val="Arial"/>
        <family val="2"/>
      </rPr>
      <t>Enti attuatori</t>
    </r>
    <r>
      <rPr>
        <sz val="10"/>
        <color theme="1"/>
        <rFont val="Arial"/>
        <family val="2"/>
      </rPr>
      <t xml:space="preserve"> (COMPR.15%)</t>
    </r>
  </si>
  <si>
    <t>Attività progetto Cyclewalk / Aktivnosti projekt Cyclewalk</t>
  </si>
  <si>
    <t>costo personale su progetti Salute</t>
  </si>
  <si>
    <t>costo personale su progetti Isonzo</t>
  </si>
  <si>
    <t>quota parte costo personale inerente fine progetto comp.2022</t>
  </si>
  <si>
    <t>Costo personale su progetti CYCLE</t>
  </si>
  <si>
    <t>(15% iti Salute) da togliere?? Su bilancio no DA CANCELLARE</t>
  </si>
  <si>
    <t>2017+ 2018??</t>
  </si>
  <si>
    <t>15% iti Isonzo da togliere?? Su bilancio no</t>
  </si>
  <si>
    <t>15% cycle da togliere?? Su bilancio no</t>
  </si>
  <si>
    <t xml:space="preserve">Attività Progetti B SOLUTION </t>
  </si>
  <si>
    <t xml:space="preserve">CONTRIBUTI DA PROGETTO SALUTE  / PRISPEVKI IZ PROJEKTOV (compr.15) </t>
  </si>
  <si>
    <t>inserito importi per annullare attivita</t>
  </si>
  <si>
    <t xml:space="preserve">CONTRIBUTI DA PROGETTO ISONZO  / PRISPEVKI IZ PROJEKTOV (compr.15) </t>
  </si>
  <si>
    <t xml:space="preserve">CONTRIBUTI DA PROGETTI / PRISPEVKI IZ PROJEKTOV CycleWalk)  (compr.15) </t>
  </si>
  <si>
    <t>da inserire</t>
  </si>
  <si>
    <t>COSTO PROGETTI NETTO</t>
  </si>
  <si>
    <t>contributi forfettari 15% a copertura costi di gestione(inseriti a conto economico)</t>
  </si>
  <si>
    <t>TOTALE COSTI DI GESTIONE TOTALE COSTI -INCREMENTI C,PERSONALE</t>
  </si>
  <si>
    <t xml:space="preserve">CONTRIBUTO B SOLUTION </t>
  </si>
  <si>
    <t>ALTRE IMMOBILIZZAZIONI</t>
  </si>
  <si>
    <t>IMMOBILIZZAZIONI IMMATERIALI</t>
  </si>
  <si>
    <t>Software inconcessione capitalizzato (Sistemi programma contabilità- Halley rilevazione presenze - Amebis lic.dizionario)</t>
  </si>
  <si>
    <t>(nuovo sito web, programma timbratura</t>
  </si>
  <si>
    <t>IMMOBILIZZAZIONI MATERIALI</t>
  </si>
  <si>
    <t>Macchine ufficio elettroniche (computer, )</t>
  </si>
  <si>
    <t>Attrezzatura (bidule)</t>
  </si>
  <si>
    <t>Telefoni e cellulari</t>
  </si>
  <si>
    <t>Mobili e arredi (tavoli, nel 2019 previsto acquisto mobili per 7320,00)</t>
  </si>
  <si>
    <t>Impianti telefonici</t>
  </si>
  <si>
    <t>CREDITI VARI</t>
  </si>
  <si>
    <t>Anticipo a fornitori</t>
  </si>
  <si>
    <t>Depositi cauzionali</t>
  </si>
  <si>
    <t>Cr.contrib.sp.certi.Pr.Salute</t>
  </si>
  <si>
    <t>Cr.contrib.sp.certi.Pr.Isonzo</t>
  </si>
  <si>
    <t>Cr.contrib.sp.certi.Pr.Cyclewalk</t>
  </si>
  <si>
    <t>Cr.contrib.sp.amministr.Pr.Salute</t>
  </si>
  <si>
    <t>ANCHE SU ALTRO BILANCIO</t>
  </si>
  <si>
    <t>Cr.contrib.sp.amministr.Pr.Isonzo</t>
  </si>
  <si>
    <t>Cr.contrib.sp.amministr.Pr.Cyclewalk</t>
  </si>
  <si>
    <t>DISPONIBILITA' LIQUIDE</t>
  </si>
  <si>
    <t>Banca c/c</t>
  </si>
  <si>
    <t>Banca c/c fido CRA</t>
  </si>
  <si>
    <t>CASSA</t>
  </si>
  <si>
    <t>PASSIVITA’</t>
  </si>
  <si>
    <t>A) Patrimonio netto</t>
  </si>
  <si>
    <t>CAPITALE E RISERVE   da vedere se girare</t>
  </si>
  <si>
    <t>I. Fondo di dotazione</t>
  </si>
  <si>
    <t>RISULTATI DELL'ESERCIZIO</t>
  </si>
  <si>
    <t>VII. Avanzi/disavanzi anni precedenti</t>
  </si>
  <si>
    <t>IX. Utile/Perdita d'esercizio</t>
  </si>
  <si>
    <t>FONDO TFR</t>
  </si>
  <si>
    <t>CONTI ERARIALI</t>
  </si>
  <si>
    <t>ENTI PREVIDENZIALI</t>
  </si>
  <si>
    <t>ALTRI DEBITI</t>
  </si>
  <si>
    <t>acconti su progetti</t>
  </si>
  <si>
    <t>acconto Comune Gorizia</t>
  </si>
  <si>
    <t>deb.diversi</t>
  </si>
  <si>
    <t>FONDI AMMORTAMENTO IMMOBILIZZAZIONI</t>
  </si>
  <si>
    <t xml:space="preserve">Fdo amm.software in concessione </t>
  </si>
  <si>
    <t>Fdo amm. macchine uff.</t>
  </si>
  <si>
    <t>Fdo amm.telefonia</t>
  </si>
  <si>
    <t>Fdo amm.impianti telefonia</t>
  </si>
  <si>
    <t>Fdo amm.arredi</t>
  </si>
  <si>
    <t>CONTRIBUTI SU PROGETTI</t>
  </si>
  <si>
    <t>CONTO ECONOMICO</t>
  </si>
  <si>
    <t>RAČUNOVODSKI IZKAZI</t>
  </si>
  <si>
    <t>A)</t>
  </si>
  <si>
    <t>VALORE DELLA PRODUZIONE</t>
  </si>
  <si>
    <t>OPERATIVNI PRIHODKI</t>
  </si>
  <si>
    <t>1)</t>
  </si>
  <si>
    <t>Valore delle vendite e delle prestazioni</t>
  </si>
  <si>
    <t>Vrednost prodaje in storitev</t>
  </si>
  <si>
    <t>Ricavi per contributi del 15% sul costo del personale</t>
  </si>
  <si>
    <t>Prihodki od prispevkov vezanih na 15% stroškov za osebje</t>
  </si>
  <si>
    <t>Rimborso spese amministrative ITI</t>
  </si>
  <si>
    <t>Povračilo administrativnih stroškov CTN</t>
  </si>
  <si>
    <t>ALTRO BILANCIO</t>
  </si>
  <si>
    <t>Rimborso spese amministrative Cyclewalk</t>
  </si>
  <si>
    <t>Povračilo administrativnih stroškov Cyclewalk</t>
  </si>
  <si>
    <t>Quota del personale caricata sui progetti (Incremento delle immobilizzazioni per lavori interni)</t>
  </si>
  <si>
    <t>Del stroškov za osebje na  projektih (povečanje osnovnih sredstev za notranja dela)</t>
  </si>
  <si>
    <t>Incremento delle immobilizz.lav.int.ITI</t>
  </si>
  <si>
    <t>Povečanje osnovnih sredstev not.dela CTN</t>
  </si>
  <si>
    <t>Incremento delle immobilizz.lav.int.Cyclewalk</t>
  </si>
  <si>
    <t>Povečanje osnovnih sredstev not.dela Cyclewalk</t>
  </si>
  <si>
    <t>5)</t>
  </si>
  <si>
    <t>Altri ricavi e proventi</t>
  </si>
  <si>
    <t>Ostali prihodki in prilivi</t>
  </si>
  <si>
    <t xml:space="preserve">     Ricavi da gestioni accessorie</t>
  </si>
  <si>
    <t xml:space="preserve"> Prihodki iz drugih dejavnosti </t>
  </si>
  <si>
    <t xml:space="preserve">     Altri contributi da terzi</t>
  </si>
  <si>
    <t>Drugi prispevki od tretjih oseb</t>
  </si>
  <si>
    <t>3.B)</t>
  </si>
  <si>
    <t>COSTI DELLA PRODUZIONE</t>
  </si>
  <si>
    <t>OPERATIVNI STROŠKI</t>
  </si>
  <si>
    <t>3.B.6</t>
  </si>
  <si>
    <t>Per materie prime, sussidiarie, di consumo e di merci</t>
  </si>
  <si>
    <t>Surovine, pomožni, potrošni material in blago</t>
  </si>
  <si>
    <t>Cancelleria varia</t>
  </si>
  <si>
    <t>Pisarniški material</t>
  </si>
  <si>
    <t>cancelleria (verd'ufficio+n.spese)</t>
  </si>
  <si>
    <t>3.B.7</t>
  </si>
  <si>
    <t>Costi per Servizi</t>
  </si>
  <si>
    <t>Stroški storitev</t>
  </si>
  <si>
    <t>57.09</t>
  </si>
  <si>
    <t xml:space="preserve">Costi per utenze </t>
  </si>
  <si>
    <t>Stroški za priključke in storitve</t>
  </si>
  <si>
    <t>Spese elefoniche ordinarie, internet</t>
  </si>
  <si>
    <t>Navadni stroški za telefon in internet</t>
  </si>
  <si>
    <r>
      <rPr>
        <i/>
        <u/>
        <sz val="10"/>
        <color theme="1"/>
        <rFont val="Arial"/>
        <family val="2"/>
      </rPr>
      <t>spese fino agosto -sett.</t>
    </r>
    <r>
      <rPr>
        <i/>
        <sz val="10"/>
        <color theme="1"/>
        <rFont val="Arial"/>
        <family val="2"/>
      </rPr>
      <t xml:space="preserve"> ( spese future : Solo dati 2,44*2 ;fisso 73,20*2) </t>
    </r>
  </si>
  <si>
    <t>Spese telefoni mobili</t>
  </si>
  <si>
    <t>Stroški za mobilne telefone</t>
  </si>
  <si>
    <r>
      <rPr>
        <i/>
        <u/>
        <sz val="10"/>
        <color theme="1"/>
        <rFont val="Arial"/>
        <family val="2"/>
      </rPr>
      <t>spese fino agosto -sett.</t>
    </r>
    <r>
      <rPr>
        <i/>
        <sz val="10"/>
        <color theme="1"/>
        <rFont val="Arial"/>
        <family val="2"/>
      </rPr>
      <t xml:space="preserve"> ( spese future : cell.110,00+ IVA *3; cell agg.23,00+ IVA*3) </t>
    </r>
  </si>
  <si>
    <t>Pulizie locali</t>
  </si>
  <si>
    <t>Čiščenje poslovnih prostorov</t>
  </si>
  <si>
    <t>fino ottobre</t>
  </si>
  <si>
    <t>Spese gestione locali (concessione spazio Palazzo Alvarez)</t>
  </si>
  <si>
    <t>Stroški upravljanja poslovnih prostorov (dodelitev prostorov Palača Alvarez)</t>
  </si>
  <si>
    <t>alvarez</t>
  </si>
  <si>
    <t>57.11</t>
  </si>
  <si>
    <t xml:space="preserve">Manutenzione macchinari e attrezzatura </t>
  </si>
  <si>
    <t>Vzdrževanje strojev in opreme</t>
  </si>
  <si>
    <t>Canoni manutenzione attrezzatura propria</t>
  </si>
  <si>
    <t>Sredstva za vzdrževanje lastne opreme</t>
  </si>
  <si>
    <t>garnazia su computer quota dle 2018</t>
  </si>
  <si>
    <t>61.01</t>
  </si>
  <si>
    <t xml:space="preserve">Prestazioni di lavoro autonomo </t>
  </si>
  <si>
    <t>Zunanji izvajalci</t>
  </si>
  <si>
    <t xml:space="preserve">Consulenze  amministrative e fiscali </t>
  </si>
  <si>
    <t>Poslovodsko in davčno svetovanje</t>
  </si>
  <si>
    <t>Verdimonti</t>
  </si>
  <si>
    <t>Responsabile della protezione dei dati</t>
  </si>
  <si>
    <t>Odgovorna oseba za varstvo podatkov</t>
  </si>
  <si>
    <t xml:space="preserve">Costi operativi per l'implementazione dell'atttività </t>
  </si>
  <si>
    <t>operativni stroški za osnovno dejavnost</t>
  </si>
  <si>
    <t>Consulenze tecniche (formazione )</t>
  </si>
  <si>
    <t>Strokovne stortive (usposabljanje)</t>
  </si>
  <si>
    <t>corso programma contabilità</t>
  </si>
  <si>
    <t>Consulenze tecniche (formazione personale su specifici programmi)</t>
  </si>
  <si>
    <t>Strokovne storitve (usposabljanje za posebne programe)</t>
  </si>
  <si>
    <t>Costo direttore</t>
  </si>
  <si>
    <t>Stroški za direktorja</t>
  </si>
  <si>
    <t xml:space="preserve">Consulenze tecniche per sicurezza D.Lgs. 81/2008 </t>
  </si>
  <si>
    <t>Strokovno svetovanje na področju varnosti Zakonska uredba 81/2008</t>
  </si>
  <si>
    <t>Altro spese consulenza</t>
  </si>
  <si>
    <t>Drugi stroški za zunanje storitve</t>
  </si>
  <si>
    <t xml:space="preserve">Prestazioni professionali diverse - sviluppo progettazioni strategiche </t>
  </si>
  <si>
    <t>Stroški za druge zunanje izvajalce - strateško načrtovanje</t>
  </si>
  <si>
    <t xml:space="preserve">Servizio di interpretariato e traduzione  </t>
  </si>
  <si>
    <t>Stroški za tolmače in prevajalce</t>
  </si>
  <si>
    <t>Servizi legali</t>
  </si>
  <si>
    <t>Stroški za pravne storitve</t>
  </si>
  <si>
    <t>61.05</t>
  </si>
  <si>
    <t xml:space="preserve">Costi organi sociali </t>
  </si>
  <si>
    <t xml:space="preserve">Stroški za organe združenja </t>
  </si>
  <si>
    <t>Costi organi sociali - revisori</t>
  </si>
  <si>
    <t>Stroški za organe združenja - revizorji</t>
  </si>
  <si>
    <t>63.01</t>
  </si>
  <si>
    <t xml:space="preserve">Spese commerciali e di viaggio </t>
  </si>
  <si>
    <t>Poslovni in potni stroški</t>
  </si>
  <si>
    <t xml:space="preserve">Spese di viaggio </t>
  </si>
  <si>
    <t>Potni stroški</t>
  </si>
  <si>
    <t>63.05</t>
  </si>
  <si>
    <t>Spese amministrative e generali</t>
  </si>
  <si>
    <t>Administrativni in splošni stroški</t>
  </si>
  <si>
    <t xml:space="preserve">Spese postali </t>
  </si>
  <si>
    <t>Poštni stroški</t>
  </si>
  <si>
    <t>Servizio elaborazione paghe</t>
  </si>
  <si>
    <t>Storitve obdelave plač</t>
  </si>
  <si>
    <t>Spese generali varie</t>
  </si>
  <si>
    <t>Razni splošni stroški</t>
  </si>
  <si>
    <t>cassetta ps, portavalori, rinfreschi, copia chiavi ecc..</t>
  </si>
  <si>
    <t xml:space="preserve">Assicurazione </t>
  </si>
  <si>
    <t>Zavarovanje</t>
  </si>
  <si>
    <t>Visite mediche periodiche ai dipendenti</t>
  </si>
  <si>
    <t>Periodični zdravniški pregledi za osebje</t>
  </si>
  <si>
    <t>visite per 5 dip.</t>
  </si>
  <si>
    <t>Commissioni e spese bancarie</t>
  </si>
  <si>
    <t>Bančne provizije in stroški</t>
  </si>
  <si>
    <t>3.B.8</t>
  </si>
  <si>
    <t>Per godimento di beni di terzi</t>
  </si>
  <si>
    <t>Uporaba tuje lastnine</t>
  </si>
  <si>
    <t>Canoni utilizzo licenze software</t>
  </si>
  <si>
    <t>Naročnina na licence za uporabo programske opreme</t>
  </si>
  <si>
    <t>Sistemi (contabilità), Kora (office), Aruba, HALLEY</t>
  </si>
  <si>
    <t>Canoni noleggio</t>
  </si>
  <si>
    <t>Najemnine</t>
  </si>
  <si>
    <t>Allin fotocopiatrice</t>
  </si>
  <si>
    <t>Spese piccole manutenzioni ufficio</t>
  </si>
  <si>
    <t>Noleggio</t>
  </si>
  <si>
    <t>Najem</t>
  </si>
  <si>
    <t>tavoli assemblea</t>
  </si>
  <si>
    <t>3.B.9</t>
  </si>
  <si>
    <t>Per il personale</t>
  </si>
  <si>
    <t>Osebje</t>
  </si>
  <si>
    <t>3.B.9.a</t>
  </si>
  <si>
    <t>Salari e stipendi</t>
  </si>
  <si>
    <t>Plače</t>
  </si>
  <si>
    <t>Retribuzioni lorde</t>
  </si>
  <si>
    <t>Bruto plače</t>
  </si>
  <si>
    <t xml:space="preserve">Sopravvenienze  passive costo personale </t>
  </si>
  <si>
    <t>Pogojne obveznosti pri stroških osebja</t>
  </si>
  <si>
    <t>3.B.9.b</t>
  </si>
  <si>
    <t>Oneri sociali</t>
  </si>
  <si>
    <t>Izdatki za socialno varnost</t>
  </si>
  <si>
    <t>Contributi INPS</t>
  </si>
  <si>
    <t>Prispevki INPS</t>
  </si>
  <si>
    <t>Contributi Cassa CPDEL, INAIL</t>
  </si>
  <si>
    <t>Sklad CPDEL, INAIL</t>
  </si>
  <si>
    <t>3.B.9.e</t>
  </si>
  <si>
    <t>Altri costi per il personale</t>
  </si>
  <si>
    <t>Drugi stroški osebja</t>
  </si>
  <si>
    <t>Servizio sostitutivo mensa aziendale</t>
  </si>
  <si>
    <t>Nadomestilo za prehrano</t>
  </si>
  <si>
    <t xml:space="preserve">Costi non imputabili a progetti </t>
  </si>
  <si>
    <t>Stroški, ki niso kriti iz projektov</t>
  </si>
  <si>
    <t>3.B.10</t>
  </si>
  <si>
    <t>Ammortamenti e svalutazioni</t>
  </si>
  <si>
    <t>Amortizacija in oslabitve</t>
  </si>
  <si>
    <t xml:space="preserve">Ammortamento delle immobilizzazioni immateriali </t>
  </si>
  <si>
    <t xml:space="preserve">Amortizacija neopredmetenih osnovnih sredstev               </t>
  </si>
  <si>
    <t xml:space="preserve">Ammortamento delle immobilizzazioni materiali </t>
  </si>
  <si>
    <t xml:space="preserve">Amortizacija opredmetenih osnovnih sredstev                </t>
  </si>
  <si>
    <t>3.B.14</t>
  </si>
  <si>
    <t>Oneri diversi di gestione</t>
  </si>
  <si>
    <t xml:space="preserve">Ostali stroški poslovanja  </t>
  </si>
  <si>
    <t xml:space="preserve">    Altre imposte e tasse</t>
  </si>
  <si>
    <t>Drugi davki in takse</t>
  </si>
  <si>
    <t xml:space="preserve">    Sanzioni, penalità e multe</t>
  </si>
  <si>
    <t>Sankcije, kazni in globe</t>
  </si>
  <si>
    <t>3.E</t>
  </si>
  <si>
    <t>Proventi e oneri finanziari</t>
  </si>
  <si>
    <t>Finančni prihodki in odhodki</t>
  </si>
  <si>
    <t>Interessi ed altri oneri finanziari</t>
  </si>
  <si>
    <t xml:space="preserve">Obresti in druge finančne obveznosti </t>
  </si>
  <si>
    <t>INTERESSI SU FINANZIAM.</t>
  </si>
  <si>
    <t>3.F</t>
  </si>
  <si>
    <t>Risultato prima delle imposte (A-B+-C+-D)</t>
  </si>
  <si>
    <t>Rezultat pred obdavčitvijo  (A-B+-C+-D)</t>
  </si>
  <si>
    <t xml:space="preserve">IRAP CORRENTE </t>
  </si>
  <si>
    <t>Tekoči deželni davek na proizvidne dejavnosti</t>
  </si>
  <si>
    <t>Avanzo d'amministrazione (*)</t>
  </si>
  <si>
    <t>Presežek prihodkov nad odhodki (*)</t>
  </si>
  <si>
    <t>(*)  l’avanzo/disavanzo dell’esercizio precedente non confluisce più tra le componenti economiche bensì nel patrimonio netto</t>
  </si>
  <si>
    <t>(*) poslovni presežek / primanjkljaj poslovanja se ne sešteva več v ekonomsko bilanco temveč v kapital</t>
  </si>
  <si>
    <t>Štroški za popravila</t>
  </si>
  <si>
    <t>Contributi da enti</t>
  </si>
  <si>
    <t>Prispevki ustanov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</si>
</sst>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0]\ #,##0.00;[Red]\-[$€-410]\ #,##0.00"/>
    <numFmt numFmtId="165" formatCode="#,##0.00\ _€"/>
    <numFmt numFmtId="166" formatCode="0.0"/>
  </numFmts>
  <fonts count="57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58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6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6"/>
      <name val="Arial"/>
      <family val="2"/>
    </font>
    <font>
      <i/>
      <sz val="9"/>
      <color rgb="FF00B05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  <font>
      <i/>
      <sz val="10"/>
      <color rgb="FF00B050"/>
      <name val="Arial"/>
      <family val="2"/>
    </font>
    <font>
      <i/>
      <sz val="11"/>
      <color rgb="FF00B050"/>
      <name val="Arial"/>
      <family val="2"/>
    </font>
    <font>
      <b/>
      <sz val="13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4"/>
      <name val="Arial"/>
      <family val="2"/>
    </font>
    <font>
      <sz val="9"/>
      <color theme="4"/>
      <name val="Arial"/>
      <family val="2"/>
    </font>
    <font>
      <sz val="10"/>
      <color theme="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sz val="9"/>
      <color theme="5"/>
      <name val="Arial"/>
      <family val="2"/>
    </font>
    <font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46"/>
        <bgColor indexed="31"/>
      </patternFill>
    </fill>
    <fill>
      <patternFill patternType="solid">
        <fgColor indexed="47"/>
        <bgColor indexed="46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>
      <alignment horizontal="center" textRotation="90"/>
    </xf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3" fillId="0" borderId="0"/>
    <xf numFmtId="164" fontId="13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7">
    <xf numFmtId="0" fontId="0" fillId="0" borderId="0" xfId="0"/>
    <xf numFmtId="0" fontId="14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0" fillId="0" borderId="0" xfId="0" applyFill="1"/>
    <xf numFmtId="4" fontId="1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Fill="1" applyBorder="1" applyAlignment="1" applyProtection="1">
      <alignment vertical="center"/>
    </xf>
    <xf numFmtId="4" fontId="2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29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4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0" fillId="0" borderId="0" xfId="0" applyFont="1" applyFill="1"/>
    <xf numFmtId="4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vertical="center"/>
    </xf>
    <xf numFmtId="4" fontId="19" fillId="0" borderId="0" xfId="0" applyNumberFormat="1" applyFont="1" applyFill="1" applyBorder="1" applyAlignment="1" applyProtection="1"/>
    <xf numFmtId="0" fontId="19" fillId="0" borderId="0" xfId="0" applyFont="1" applyFill="1"/>
    <xf numFmtId="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0" fillId="0" borderId="0" xfId="0" applyFont="1" applyFill="1"/>
    <xf numFmtId="4" fontId="17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7" fillId="0" borderId="0" xfId="0" applyFont="1" applyFill="1"/>
    <xf numFmtId="4" fontId="14" fillId="0" borderId="0" xfId="0" applyNumberFormat="1" applyFont="1" applyFill="1" applyBorder="1" applyAlignment="1" applyProtection="1"/>
    <xf numFmtId="0" fontId="14" fillId="0" borderId="0" xfId="0" applyFont="1" applyFill="1"/>
    <xf numFmtId="0" fontId="16" fillId="0" borderId="0" xfId="0" applyFont="1" applyFill="1"/>
    <xf numFmtId="4" fontId="23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2" fillId="0" borderId="0" xfId="0" applyFont="1" applyFill="1"/>
    <xf numFmtId="0" fontId="23" fillId="0" borderId="0" xfId="0" applyFont="1" applyFill="1"/>
    <xf numFmtId="4" fontId="37" fillId="0" borderId="0" xfId="0" applyNumberFormat="1" applyFont="1" applyFill="1" applyBorder="1" applyAlignment="1" applyProtection="1"/>
    <xf numFmtId="4" fontId="38" fillId="0" borderId="0" xfId="0" applyNumberFormat="1" applyFont="1" applyFill="1" applyBorder="1" applyAlignment="1" applyProtection="1"/>
    <xf numFmtId="4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5" fillId="0" borderId="0" xfId="0" applyFont="1" applyFill="1"/>
    <xf numFmtId="4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0" fontId="32" fillId="0" borderId="0" xfId="0" applyFont="1" applyFill="1"/>
    <xf numFmtId="4" fontId="19" fillId="0" borderId="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horizontal="right"/>
    </xf>
    <xf numFmtId="0" fontId="19" fillId="0" borderId="0" xfId="0" applyFont="1" applyFill="1" applyAlignment="1">
      <alignment horizontal="right"/>
    </xf>
    <xf numFmtId="4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Alignment="1">
      <alignment horizontal="right"/>
    </xf>
    <xf numFmtId="4" fontId="19" fillId="0" borderId="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9" fontId="0" fillId="0" borderId="0" xfId="0" applyNumberFormat="1" applyFont="1" applyFill="1" applyBorder="1" applyAlignment="1" applyProtection="1"/>
    <xf numFmtId="4" fontId="35" fillId="0" borderId="0" xfId="0" applyNumberFormat="1" applyFont="1" applyFill="1" applyBorder="1" applyAlignment="1" applyProtection="1"/>
    <xf numFmtId="0" fontId="35" fillId="0" borderId="0" xfId="0" applyNumberFormat="1" applyFont="1" applyFill="1" applyBorder="1" applyAlignment="1" applyProtection="1"/>
    <xf numFmtId="9" fontId="41" fillId="0" borderId="0" xfId="0" applyNumberFormat="1" applyFont="1" applyFill="1" applyBorder="1" applyAlignment="1" applyProtection="1"/>
    <xf numFmtId="0" fontId="41" fillId="0" borderId="0" xfId="0" applyFont="1" applyFill="1"/>
    <xf numFmtId="0" fontId="42" fillId="0" borderId="0" xfId="0" applyNumberFormat="1" applyFont="1" applyFill="1" applyBorder="1" applyAlignment="1" applyProtection="1"/>
    <xf numFmtId="0" fontId="43" fillId="0" borderId="0" xfId="0" applyFont="1" applyFill="1"/>
    <xf numFmtId="4" fontId="42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4" fontId="40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/>
    <xf numFmtId="4" fontId="36" fillId="0" borderId="0" xfId="0" applyNumberFormat="1" applyFont="1" applyFill="1" applyBorder="1" applyAlignment="1" applyProtection="1"/>
    <xf numFmtId="2" fontId="23" fillId="0" borderId="0" xfId="0" applyNumberFormat="1" applyFont="1" applyFill="1" applyBorder="1" applyAlignment="1" applyProtection="1">
      <alignment vertical="center"/>
    </xf>
    <xf numFmtId="4" fontId="37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/>
    <xf numFmtId="0" fontId="30" fillId="0" borderId="0" xfId="0" applyFont="1" applyFill="1"/>
    <xf numFmtId="0" fontId="46" fillId="0" borderId="0" xfId="0" applyNumberFormat="1" applyFont="1" applyFill="1" applyBorder="1" applyAlignment="1" applyProtection="1">
      <alignment vertical="center" wrapText="1"/>
    </xf>
    <xf numFmtId="0" fontId="53" fillId="0" borderId="0" xfId="0" applyNumberFormat="1" applyFont="1" applyFill="1" applyBorder="1" applyAlignment="1" applyProtection="1">
      <alignment vertical="center" wrapText="1"/>
    </xf>
    <xf numFmtId="4" fontId="47" fillId="9" borderId="0" xfId="0" applyNumberFormat="1" applyFont="1" applyFill="1" applyBorder="1" applyAlignment="1" applyProtection="1">
      <alignment vertical="center" wrapText="1"/>
    </xf>
    <xf numFmtId="4" fontId="46" fillId="0" borderId="0" xfId="0" applyNumberFormat="1" applyFont="1" applyFill="1" applyBorder="1" applyAlignment="1" applyProtection="1">
      <alignment vertical="center" wrapText="1"/>
    </xf>
    <xf numFmtId="165" fontId="46" fillId="0" borderId="0" xfId="0" applyNumberFormat="1" applyFont="1" applyFill="1" applyBorder="1" applyAlignment="1" applyProtection="1">
      <alignment vertical="center" wrapText="1"/>
    </xf>
    <xf numFmtId="2" fontId="46" fillId="0" borderId="0" xfId="0" applyNumberFormat="1" applyFont="1" applyFill="1" applyBorder="1" applyAlignment="1" applyProtection="1">
      <alignment vertical="center" wrapText="1"/>
    </xf>
    <xf numFmtId="0" fontId="47" fillId="9" borderId="0" xfId="0" applyNumberFormat="1" applyFont="1" applyFill="1" applyBorder="1" applyAlignment="1" applyProtection="1">
      <alignment vertical="center" wrapText="1"/>
    </xf>
    <xf numFmtId="165" fontId="47" fillId="9" borderId="0" xfId="0" applyNumberFormat="1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vertical="center" wrapText="1"/>
    </xf>
    <xf numFmtId="2" fontId="47" fillId="9" borderId="0" xfId="0" applyNumberFormat="1" applyFont="1" applyFill="1" applyBorder="1" applyAlignment="1" applyProtection="1">
      <alignment vertical="center" wrapText="1"/>
    </xf>
    <xf numFmtId="0" fontId="49" fillId="9" borderId="0" xfId="0" applyNumberFormat="1" applyFont="1" applyFill="1" applyBorder="1" applyAlignment="1" applyProtection="1">
      <alignment vertical="center" wrapText="1"/>
    </xf>
    <xf numFmtId="4" fontId="49" fillId="9" borderId="0" xfId="0" applyNumberFormat="1" applyFont="1" applyFill="1" applyBorder="1" applyAlignment="1" applyProtection="1">
      <alignment vertical="center" wrapText="1"/>
    </xf>
    <xf numFmtId="0" fontId="46" fillId="9" borderId="0" xfId="0" applyNumberFormat="1" applyFont="1" applyFill="1" applyBorder="1" applyAlignment="1" applyProtection="1">
      <alignment vertical="center" wrapText="1"/>
    </xf>
    <xf numFmtId="0" fontId="48" fillId="10" borderId="0" xfId="0" applyNumberFormat="1" applyFont="1" applyFill="1" applyBorder="1" applyAlignment="1" applyProtection="1">
      <alignment vertical="center" wrapText="1"/>
    </xf>
    <xf numFmtId="4" fontId="48" fillId="10" borderId="0" xfId="0" applyNumberFormat="1" applyFont="1" applyFill="1" applyBorder="1" applyAlignment="1" applyProtection="1">
      <alignment vertical="center" wrapText="1"/>
    </xf>
    <xf numFmtId="0" fontId="46" fillId="10" borderId="0" xfId="0" applyNumberFormat="1" applyFont="1" applyFill="1" applyBorder="1" applyAlignment="1" applyProtection="1">
      <alignment vertical="center" wrapText="1"/>
    </xf>
    <xf numFmtId="165" fontId="46" fillId="10" borderId="0" xfId="0" applyNumberFormat="1" applyFont="1" applyFill="1" applyBorder="1" applyAlignment="1" applyProtection="1">
      <alignment vertical="center" wrapText="1"/>
    </xf>
    <xf numFmtId="9" fontId="53" fillId="0" borderId="0" xfId="0" applyNumberFormat="1" applyFont="1" applyFill="1" applyBorder="1" applyAlignment="1" applyProtection="1">
      <alignment vertical="center" wrapText="1"/>
    </xf>
    <xf numFmtId="165" fontId="48" fillId="10" borderId="0" xfId="0" applyNumberFormat="1" applyFont="1" applyFill="1" applyBorder="1" applyAlignment="1" applyProtection="1">
      <alignment vertical="center" wrapText="1"/>
    </xf>
    <xf numFmtId="0" fontId="14" fillId="9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7" fillId="0" borderId="2" xfId="0" applyNumberFormat="1" applyFont="1" applyFill="1" applyBorder="1" applyAlignment="1" applyProtection="1">
      <alignment vertical="center" wrapText="1"/>
    </xf>
    <xf numFmtId="4" fontId="47" fillId="0" borderId="2" xfId="0" applyNumberFormat="1" applyFont="1" applyFill="1" applyBorder="1" applyAlignment="1" applyProtection="1">
      <alignment vertical="center" wrapText="1"/>
    </xf>
    <xf numFmtId="165" fontId="47" fillId="0" borderId="2" xfId="0" applyNumberFormat="1" applyFont="1" applyFill="1" applyBorder="1" applyAlignment="1" applyProtection="1">
      <alignment vertical="center" wrapText="1"/>
    </xf>
    <xf numFmtId="0" fontId="50" fillId="0" borderId="3" xfId="0" applyNumberFormat="1" applyFont="1" applyFill="1" applyBorder="1" applyAlignment="1" applyProtection="1">
      <alignment horizontal="left" vertical="center" wrapText="1" indent="3"/>
    </xf>
    <xf numFmtId="4" fontId="50" fillId="0" borderId="3" xfId="0" applyNumberFormat="1" applyFont="1" applyFill="1" applyBorder="1" applyAlignment="1" applyProtection="1">
      <alignment horizontal="left" vertical="center" wrapText="1" indent="3"/>
    </xf>
    <xf numFmtId="0" fontId="50" fillId="0" borderId="3" xfId="0" applyNumberFormat="1" applyFont="1" applyFill="1" applyBorder="1" applyAlignment="1" applyProtection="1">
      <alignment vertical="center" wrapText="1"/>
    </xf>
    <xf numFmtId="165" fontId="50" fillId="0" borderId="3" xfId="0" applyNumberFormat="1" applyFont="1" applyFill="1" applyBorder="1" applyAlignment="1" applyProtection="1">
      <alignment vertical="center" wrapText="1"/>
    </xf>
    <xf numFmtId="165" fontId="54" fillId="0" borderId="3" xfId="0" applyNumberFormat="1" applyFont="1" applyFill="1" applyBorder="1" applyAlignment="1" applyProtection="1">
      <alignment vertical="center" wrapText="1"/>
    </xf>
    <xf numFmtId="4" fontId="50" fillId="0" borderId="4" xfId="0" applyNumberFormat="1" applyFont="1" applyFill="1" applyBorder="1" applyAlignment="1" applyProtection="1">
      <alignment horizontal="left" vertical="center" wrapText="1" indent="3"/>
    </xf>
    <xf numFmtId="0" fontId="50" fillId="0" borderId="3" xfId="0" applyNumberFormat="1" applyFont="1" applyFill="1" applyBorder="1" applyAlignment="1" applyProtection="1">
      <alignment horizontal="left" vertical="center" wrapText="1" indent="1"/>
    </xf>
    <xf numFmtId="0" fontId="46" fillId="0" borderId="3" xfId="0" applyNumberFormat="1" applyFont="1" applyFill="1" applyBorder="1" applyAlignment="1" applyProtection="1">
      <alignment vertical="center" wrapText="1"/>
    </xf>
    <xf numFmtId="165" fontId="46" fillId="0" borderId="3" xfId="0" applyNumberFormat="1" applyFont="1" applyFill="1" applyBorder="1" applyAlignment="1" applyProtection="1">
      <alignment vertical="center" wrapText="1"/>
    </xf>
    <xf numFmtId="0" fontId="50" fillId="0" borderId="4" xfId="0" applyNumberFormat="1" applyFont="1" applyFill="1" applyBorder="1" applyAlignment="1" applyProtection="1">
      <alignment horizontal="left" vertical="center" wrapText="1" indent="1"/>
    </xf>
    <xf numFmtId="0" fontId="46" fillId="0" borderId="4" xfId="0" applyNumberFormat="1" applyFont="1" applyFill="1" applyBorder="1" applyAlignment="1" applyProtection="1">
      <alignment vertical="center" wrapText="1"/>
    </xf>
    <xf numFmtId="165" fontId="46" fillId="0" borderId="4" xfId="0" applyNumberFormat="1" applyFont="1" applyFill="1" applyBorder="1" applyAlignment="1" applyProtection="1">
      <alignment vertical="center" wrapText="1"/>
    </xf>
    <xf numFmtId="4" fontId="46" fillId="0" borderId="4" xfId="0" applyNumberFormat="1" applyFont="1" applyFill="1" applyBorder="1" applyAlignment="1" applyProtection="1">
      <alignment vertical="center" wrapText="1"/>
    </xf>
    <xf numFmtId="4" fontId="46" fillId="0" borderId="3" xfId="0" applyNumberFormat="1" applyFont="1" applyFill="1" applyBorder="1" applyAlignment="1" applyProtection="1">
      <alignment vertical="center" wrapText="1"/>
    </xf>
    <xf numFmtId="0" fontId="47" fillId="0" borderId="3" xfId="0" applyNumberFormat="1" applyFont="1" applyFill="1" applyBorder="1" applyAlignment="1" applyProtection="1">
      <alignment vertical="center" wrapText="1"/>
    </xf>
    <xf numFmtId="4" fontId="47" fillId="0" borderId="3" xfId="0" applyNumberFormat="1" applyFont="1" applyFill="1" applyBorder="1" applyAlignment="1" applyProtection="1">
      <alignment vertical="center" wrapText="1"/>
    </xf>
    <xf numFmtId="165" fontId="47" fillId="0" borderId="3" xfId="0" applyNumberFormat="1" applyFont="1" applyFill="1" applyBorder="1" applyAlignment="1" applyProtection="1">
      <alignment vertical="center" wrapText="1"/>
    </xf>
    <xf numFmtId="0" fontId="50" fillId="0" borderId="3" xfId="0" applyFont="1" applyFill="1" applyBorder="1" applyAlignment="1">
      <alignment horizontal="left" vertical="center" wrapText="1" indent="3"/>
    </xf>
    <xf numFmtId="49" fontId="50" fillId="0" borderId="3" xfId="0" applyNumberFormat="1" applyFont="1" applyFill="1" applyBorder="1" applyAlignment="1">
      <alignment horizontal="left" vertical="center" wrapText="1" indent="3"/>
    </xf>
    <xf numFmtId="0" fontId="54" fillId="0" borderId="3" xfId="0" applyNumberFormat="1" applyFont="1" applyFill="1" applyBorder="1" applyAlignment="1" applyProtection="1">
      <alignment horizontal="left" vertical="center" wrapText="1" indent="3"/>
    </xf>
    <xf numFmtId="4" fontId="54" fillId="0" borderId="3" xfId="0" applyNumberFormat="1" applyFont="1" applyFill="1" applyBorder="1" applyAlignment="1" applyProtection="1">
      <alignment horizontal="left" vertical="center" wrapText="1" indent="3"/>
    </xf>
    <xf numFmtId="49" fontId="50" fillId="0" borderId="3" xfId="0" applyNumberFormat="1" applyFont="1" applyFill="1" applyBorder="1" applyAlignment="1">
      <alignment horizontal="left" vertical="center" wrapText="1" indent="5"/>
    </xf>
    <xf numFmtId="4" fontId="50" fillId="0" borderId="3" xfId="0" applyNumberFormat="1" applyFont="1" applyFill="1" applyBorder="1" applyAlignment="1" applyProtection="1">
      <alignment horizontal="left" vertical="center" wrapText="1" indent="5"/>
    </xf>
    <xf numFmtId="49" fontId="54" fillId="0" borderId="3" xfId="0" applyNumberFormat="1" applyFont="1" applyFill="1" applyBorder="1" applyAlignment="1">
      <alignment horizontal="left" vertical="center" wrapText="1" indent="3"/>
    </xf>
    <xf numFmtId="49" fontId="46" fillId="0" borderId="3" xfId="0" applyNumberFormat="1" applyFont="1" applyFill="1" applyBorder="1" applyAlignment="1">
      <alignment vertical="center" wrapText="1"/>
    </xf>
    <xf numFmtId="49" fontId="47" fillId="0" borderId="3" xfId="0" applyNumberFormat="1" applyFont="1" applyFill="1" applyBorder="1" applyAlignment="1">
      <alignment vertical="center" wrapText="1"/>
    </xf>
    <xf numFmtId="4" fontId="51" fillId="9" borderId="0" xfId="0" applyNumberFormat="1" applyFont="1" applyFill="1" applyBorder="1" applyAlignment="1" applyProtection="1">
      <alignment horizontal="center" vertical="center" wrapText="1"/>
    </xf>
    <xf numFmtId="0" fontId="52" fillId="9" borderId="0" xfId="0" applyNumberFormat="1" applyFont="1" applyFill="1" applyBorder="1" applyAlignment="1" applyProtection="1">
      <alignment horizontal="center" vertical="center" wrapText="1"/>
    </xf>
    <xf numFmtId="0" fontId="51" fillId="9" borderId="0" xfId="0" applyNumberFormat="1" applyFont="1" applyFill="1" applyBorder="1" applyAlignment="1" applyProtection="1">
      <alignment horizontal="center" vertical="center" wrapText="1"/>
    </xf>
    <xf numFmtId="0" fontId="55" fillId="0" borderId="0" xfId="0" applyNumberFormat="1" applyFont="1" applyFill="1" applyBorder="1" applyAlignment="1" applyProtection="1">
      <alignment vertical="center"/>
    </xf>
    <xf numFmtId="0" fontId="56" fillId="0" borderId="0" xfId="0" applyNumberFormat="1" applyFont="1" applyFill="1" applyBorder="1" applyAlignment="1" applyProtection="1">
      <alignment vertical="center" wrapText="1"/>
    </xf>
    <xf numFmtId="4" fontId="56" fillId="0" borderId="0" xfId="0" applyNumberFormat="1" applyFont="1" applyFill="1" applyBorder="1" applyAlignment="1" applyProtection="1">
      <alignment vertical="center" wrapText="1"/>
    </xf>
    <xf numFmtId="0" fontId="56" fillId="0" borderId="0" xfId="0" applyNumberFormat="1" applyFont="1" applyFill="1" applyBorder="1" applyAlignment="1" applyProtection="1">
      <alignment wrapText="1"/>
    </xf>
    <xf numFmtId="166" fontId="46" fillId="0" borderId="0" xfId="0" applyNumberFormat="1" applyFont="1" applyFill="1" applyBorder="1" applyAlignment="1" applyProtection="1">
      <alignment vertical="center" wrapText="1"/>
    </xf>
    <xf numFmtId="0" fontId="28" fillId="0" borderId="0" xfId="0" applyNumberFormat="1" applyFont="1" applyFill="1" applyBorder="1" applyAlignment="1" applyProtection="1">
      <alignment horizontal="left" vertic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eading1 1" xfId="12" xr:uid="{00000000-0005-0000-0000-00000B000000}"/>
    <cellStyle name="Neutral" xfId="13" xr:uid="{00000000-0005-0000-0000-00000D000000}"/>
    <cellStyle name="Normale" xfId="0" builtinId="0"/>
    <cellStyle name="Note" xfId="14" xr:uid="{00000000-0005-0000-0000-00000F000000}"/>
    <cellStyle name="Result 1" xfId="15" xr:uid="{00000000-0005-0000-0000-000010000000}"/>
    <cellStyle name="Result2 1" xfId="16" xr:uid="{00000000-0005-0000-0000-000011000000}"/>
    <cellStyle name="Status" xfId="17" xr:uid="{00000000-0005-0000-0000-000012000000}"/>
    <cellStyle name="Text" xfId="18" xr:uid="{00000000-0005-0000-0000-000013000000}"/>
    <cellStyle name="Warning" xfId="19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CC"/>
      <rgbColor rgb="00FFFF00"/>
      <rgbColor rgb="00FF0066"/>
      <rgbColor rgb="0000FFFF"/>
      <rgbColor rgb="00CC0000"/>
      <rgbColor rgb="00008000"/>
      <rgbColor rgb="00000080"/>
      <rgbColor rgb="00996600"/>
      <rgbColor rgb="00800080"/>
      <rgbColor rgb="00008080"/>
      <rgbColor rgb="00B2B2B2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CCFF66"/>
      <rgbColor rgb="0000FFFF"/>
      <rgbColor rgb="00800080"/>
      <rgbColor rgb="00800000"/>
      <rgbColor rgb="00008080"/>
      <rgbColor rgb="000000FF"/>
      <rgbColor rgb="0000B0F0"/>
      <rgbColor rgb="00EEEEEE"/>
      <rgbColor rgb="00CCFFCC"/>
      <rgbColor rgb="00CCFF99"/>
      <rgbColor rgb="0099CC99"/>
      <rgbColor rgb="00FF99CC"/>
      <rgbColor rgb="00DDDDDD"/>
      <rgbColor rgb="00FFCCCC"/>
      <rgbColor rgb="003399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009900"/>
      <rgbColor rgb="00006600"/>
      <rgbColor rgb="00333300"/>
      <rgbColor rgb="00993300"/>
      <rgbColor rgb="00993366"/>
      <rgbColor rgb="00333399"/>
      <rgbColor rgb="00333333"/>
    </indexedColors>
    <mruColors>
      <color rgb="FF9999FF"/>
      <color rgb="FF9966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19707</xdr:colOff>
      <xdr:row>0</xdr:row>
      <xdr:rowOff>32844</xdr:rowOff>
    </xdr:from>
    <xdr:to>
      <xdr:col>1</xdr:col>
      <xdr:colOff>2338552</xdr:colOff>
      <xdr:row>1</xdr:row>
      <xdr:rowOff>218966</xdr:rowOff>
    </xdr:to>
    <xdr:pic>
      <xdr:nvPicPr>
        <xdr:cNvPr id="2" name="Immagini 1">
          <a:extLst>
            <a:ext uri="{FF2B5EF4-FFF2-40B4-BE49-F238E27FC236}">
              <a16:creationId xmlns:a16="http://schemas.microsoft.com/office/drawing/2014/main" id="{9A1439E6-3646-49D5-9BF0-EE1FE3E6A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93" y="32844"/>
          <a:ext cx="2318845" cy="9525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B215-A18F-438A-A813-750E7AEDBD77}">
  <sheetPr>
    <pageSetUpPr fitToPage="1"/>
  </sheetPr>
  <dimension ref="A1:M195"/>
  <sheetViews>
    <sheetView tabSelected="1" zoomScale="87" zoomScaleNormal="87" workbookViewId="0">
      <pane xSplit="2" ySplit="96" topLeftCell="C146" activePane="bottomRight" state="frozen"/>
      <selection pane="topRight" activeCell="C1" sqref="C1"/>
      <selection pane="bottomLeft" activeCell="A97" sqref="A97"/>
      <selection pane="bottomRight" activeCell="C182" sqref="C182"/>
    </sheetView>
  </sheetViews>
  <sheetFormatPr defaultColWidth="11.42578125" defaultRowHeight="15.75" customHeight="1" x14ac:dyDescent="0.2"/>
  <cols>
    <col min="1" max="1" width="8" style="7" customWidth="1"/>
    <col min="2" max="2" width="62.5703125" style="77" customWidth="1"/>
    <col min="3" max="3" width="62.5703125" style="80" customWidth="1"/>
    <col min="4" max="4" width="5.42578125" style="77" customWidth="1"/>
    <col min="5" max="5" width="17.140625" style="80" hidden="1" customWidth="1"/>
    <col min="6" max="6" width="17.140625" style="77" hidden="1" customWidth="1"/>
    <col min="7" max="9" width="17.140625" style="77" customWidth="1"/>
    <col min="10" max="10" width="17.140625" style="80" customWidth="1"/>
    <col min="11" max="11" width="15.7109375" style="2" customWidth="1"/>
    <col min="12" max="12" width="13.5703125" style="2" customWidth="1"/>
    <col min="13" max="13" width="5.42578125" style="2" customWidth="1"/>
    <col min="14" max="16384" width="11.42578125" style="7"/>
  </cols>
  <sheetData>
    <row r="1" spans="2:13" ht="60.75" customHeight="1" x14ac:dyDescent="0.2">
      <c r="C1" s="78"/>
      <c r="D1" s="78"/>
      <c r="E1" s="128" t="s">
        <v>7</v>
      </c>
      <c r="F1" s="129" t="s">
        <v>0</v>
      </c>
      <c r="G1" s="130" t="s">
        <v>8</v>
      </c>
      <c r="H1" s="128" t="s">
        <v>9</v>
      </c>
      <c r="I1" s="128" t="s">
        <v>10</v>
      </c>
      <c r="J1" s="128" t="s">
        <v>11</v>
      </c>
    </row>
    <row r="2" spans="2:13" ht="60.75" customHeight="1" x14ac:dyDescent="0.2">
      <c r="C2" s="77"/>
      <c r="E2" s="128" t="s">
        <v>12</v>
      </c>
      <c r="F2" s="130"/>
      <c r="G2" s="130" t="s">
        <v>13</v>
      </c>
      <c r="H2" s="130" t="s">
        <v>14</v>
      </c>
      <c r="I2" s="130" t="s">
        <v>15</v>
      </c>
      <c r="J2" s="128" t="s">
        <v>16</v>
      </c>
    </row>
    <row r="3" spans="2:13" ht="30" hidden="1" customHeight="1" x14ac:dyDescent="0.2">
      <c r="B3" s="77" t="s">
        <v>17</v>
      </c>
      <c r="E3" s="79" t="e">
        <f>E5-E62</f>
        <v>#REF!</v>
      </c>
      <c r="F3" s="79" t="e">
        <f>E6-#REF!-E18-E19-E20</f>
        <v>#REF!</v>
      </c>
      <c r="G3" s="83"/>
      <c r="H3" s="79"/>
      <c r="I3" s="79"/>
      <c r="J3" s="79"/>
    </row>
    <row r="4" spans="2:13" ht="25.5" hidden="1" customHeight="1" x14ac:dyDescent="0.2">
      <c r="B4" s="77" t="s">
        <v>18</v>
      </c>
      <c r="E4" s="79"/>
      <c r="F4" s="83"/>
      <c r="G4" s="83"/>
      <c r="H4" s="84"/>
      <c r="I4" s="84"/>
      <c r="J4" s="79"/>
    </row>
    <row r="5" spans="2:13" ht="25.5" hidden="1" customHeight="1" x14ac:dyDescent="0.2">
      <c r="B5" s="78" t="s">
        <v>19</v>
      </c>
      <c r="E5" s="79" t="e">
        <f>E6+E43+E49+E58</f>
        <v>#REF!</v>
      </c>
      <c r="F5" s="83"/>
      <c r="G5" s="83"/>
      <c r="H5" s="84"/>
      <c r="I5" s="84"/>
      <c r="J5" s="79"/>
    </row>
    <row r="6" spans="2:13" s="23" customFormat="1" ht="25.5" hidden="1" customHeight="1" x14ac:dyDescent="0.25">
      <c r="B6" s="77" t="s">
        <v>20</v>
      </c>
      <c r="C6" s="80" t="e">
        <f>#REF!+C8+C12+C13+C17+C18+C19+C20</f>
        <v>#REF!</v>
      </c>
      <c r="D6" s="77"/>
      <c r="E6" s="79" t="e">
        <f>#REF!+E8+E12+E13+E17+E11+E18+E19+E20</f>
        <v>#REF!</v>
      </c>
      <c r="F6" s="83"/>
      <c r="G6" s="79" t="e">
        <f>#REF!+G8+G12+G13+G17+G11+G18+G19+G20</f>
        <v>#REF!</v>
      </c>
      <c r="H6" s="79" t="e">
        <f>#REF!+H8+H12+H13+H17+H11+H18+H19+H20+H21</f>
        <v>#REF!</v>
      </c>
      <c r="I6" s="79" t="e">
        <f>#REF!+I8+I12+I13+I17+I11+I18+I19+I20</f>
        <v>#REF!</v>
      </c>
      <c r="J6" s="79" t="e">
        <f>#REF!+J8+J12+J13+J17+J11+J18+J19+J20</f>
        <v>#REF!</v>
      </c>
      <c r="K6" s="69" t="e">
        <f>J6+I6+H6+G6</f>
        <v>#REF!</v>
      </c>
      <c r="L6" s="70" t="s">
        <v>21</v>
      </c>
      <c r="M6" s="22"/>
    </row>
    <row r="7" spans="2:13" s="23" customFormat="1" ht="18.75" hidden="1" customHeight="1" x14ac:dyDescent="0.25">
      <c r="B7" s="77" t="s">
        <v>22</v>
      </c>
      <c r="C7" s="80">
        <f>C8+C11+C12+C13+C17+C18+C20+C19</f>
        <v>293664</v>
      </c>
      <c r="D7" s="80"/>
      <c r="E7" s="79">
        <f>E8+E11+E12+E13+E17</f>
        <v>880319.84000000008</v>
      </c>
      <c r="F7" s="79"/>
      <c r="G7" s="79">
        <f>G8+G11+G12+G13+G17+G18+G20+G19</f>
        <v>1190377.2275</v>
      </c>
      <c r="H7" s="79">
        <f>H8+H11+H12+H13+H17+H18+H20+H19</f>
        <v>3356681.807</v>
      </c>
      <c r="I7" s="79">
        <f>I8+I11+I12+I13+I17+I18+I20+I19</f>
        <v>3764122.7635000004</v>
      </c>
      <c r="J7" s="79">
        <f>J8+J11+J12+J13+J17+J18+J20+J19</f>
        <v>1934816.1635</v>
      </c>
      <c r="K7" s="24">
        <f t="shared" ref="K7" si="0">SUM(G7:J7)</f>
        <v>10245997.9615</v>
      </c>
      <c r="L7" s="22"/>
      <c r="M7" s="22"/>
    </row>
    <row r="8" spans="2:13" s="35" customFormat="1" ht="18.75" hidden="1" customHeight="1" x14ac:dyDescent="0.2">
      <c r="B8" s="77" t="s">
        <v>23</v>
      </c>
      <c r="C8" s="80">
        <f>C9+C10</f>
        <v>174715.85</v>
      </c>
      <c r="D8" s="80"/>
      <c r="E8" s="79">
        <f>E9+E10</f>
        <v>363313.9</v>
      </c>
      <c r="F8" s="79"/>
      <c r="G8" s="79">
        <f>G10+G9</f>
        <v>383759.1</v>
      </c>
      <c r="H8" s="84">
        <f>H9+H10</f>
        <v>2123682.61</v>
      </c>
      <c r="I8" s="84">
        <f>I9+I10</f>
        <v>2951497.16</v>
      </c>
      <c r="J8" s="79">
        <f>J9+J10</f>
        <v>1594629.81</v>
      </c>
      <c r="K8" s="60">
        <f>SUM(G8:J8)</f>
        <v>7053568.6799999997</v>
      </c>
      <c r="L8" s="61" t="s">
        <v>1</v>
      </c>
      <c r="M8" s="34"/>
    </row>
    <row r="9" spans="2:13" s="42" customFormat="1" ht="18.75" hidden="1" customHeight="1" x14ac:dyDescent="0.2">
      <c r="B9" s="77" t="s">
        <v>24</v>
      </c>
      <c r="C9" s="80">
        <f>349.42+140889.96</f>
        <v>141239.38</v>
      </c>
      <c r="D9" s="80"/>
      <c r="E9" s="79">
        <f>4986.35+249394.02</f>
        <v>254380.37</v>
      </c>
      <c r="F9" s="79"/>
      <c r="G9" s="79">
        <f>E9+12280.97</f>
        <v>266661.33999999997</v>
      </c>
      <c r="H9" s="84">
        <v>622683.82999999996</v>
      </c>
      <c r="I9" s="84">
        <v>1125574.6599999999</v>
      </c>
      <c r="J9" s="79">
        <v>467424.24</v>
      </c>
      <c r="K9" s="39"/>
      <c r="L9" s="39"/>
      <c r="M9" s="40"/>
    </row>
    <row r="10" spans="2:13" s="42" customFormat="1" ht="18.75" hidden="1" customHeight="1" x14ac:dyDescent="0.2">
      <c r="B10" s="77" t="s">
        <v>25</v>
      </c>
      <c r="C10" s="80">
        <f>12+33464.47</f>
        <v>33476.47</v>
      </c>
      <c r="D10" s="80"/>
      <c r="E10" s="79">
        <f>33.98+108899.55</f>
        <v>108933.53</v>
      </c>
      <c r="F10" s="79"/>
      <c r="G10" s="79">
        <f>E10+8164.23</f>
        <v>117097.76</v>
      </c>
      <c r="H10" s="84">
        <v>1500998.78</v>
      </c>
      <c r="I10" s="84">
        <v>1825922.5</v>
      </c>
      <c r="J10" s="79">
        <v>1127205.57</v>
      </c>
      <c r="K10" s="39"/>
      <c r="L10" s="40"/>
      <c r="M10" s="40"/>
    </row>
    <row r="11" spans="2:13" s="35" customFormat="1" ht="18.75" hidden="1" customHeight="1" x14ac:dyDescent="0.2">
      <c r="B11" s="77" t="s">
        <v>26</v>
      </c>
      <c r="C11" s="80">
        <v>0</v>
      </c>
      <c r="D11" s="80"/>
      <c r="E11" s="79">
        <f>161898.22+24284.74</f>
        <v>186182.96</v>
      </c>
      <c r="F11" s="79"/>
      <c r="G11" s="79">
        <f>E11+214429.54</f>
        <v>400612.5</v>
      </c>
      <c r="H11" s="84">
        <v>901043.02</v>
      </c>
      <c r="I11" s="84">
        <v>553786.65</v>
      </c>
      <c r="J11" s="79">
        <v>80784.91</v>
      </c>
      <c r="K11" s="60">
        <f>SUM(G11:J11)</f>
        <v>1936227.0799999998</v>
      </c>
      <c r="L11" s="34"/>
      <c r="M11" s="34"/>
    </row>
    <row r="12" spans="2:13" s="35" customFormat="1" ht="18.75" hidden="1" customHeight="1" x14ac:dyDescent="0.2">
      <c r="B12" s="77" t="s">
        <v>27</v>
      </c>
      <c r="C12" s="80">
        <f>2039.53+5322.61</f>
        <v>7362.1399999999994</v>
      </c>
      <c r="D12" s="80"/>
      <c r="E12" s="79">
        <f>3722.58+26245.85</f>
        <v>29968.43</v>
      </c>
      <c r="F12" s="79"/>
      <c r="G12" s="79">
        <f>E12+6841.93</f>
        <v>36810.36</v>
      </c>
      <c r="H12" s="84">
        <v>56775.92</v>
      </c>
      <c r="I12" s="84">
        <v>4944.38</v>
      </c>
      <c r="J12" s="79">
        <v>5506.87</v>
      </c>
      <c r="K12" s="33"/>
      <c r="L12" s="43">
        <f>SUM(G12:K12)</f>
        <v>104037.53</v>
      </c>
      <c r="M12" s="34"/>
    </row>
    <row r="13" spans="2:13" s="35" customFormat="1" ht="18.75" hidden="1" customHeight="1" x14ac:dyDescent="0.2">
      <c r="B13" s="77" t="s">
        <v>2</v>
      </c>
      <c r="C13" s="80">
        <f>C14+C15</f>
        <v>77861.37</v>
      </c>
      <c r="D13" s="80"/>
      <c r="E13" s="83">
        <f>E14+E15</f>
        <v>233387.73</v>
      </c>
      <c r="F13" s="79" t="s">
        <v>3</v>
      </c>
      <c r="G13" s="79">
        <f>G14+G15</f>
        <v>247621.34999999998</v>
      </c>
      <c r="H13" s="79">
        <f>H14+H15</f>
        <v>170376.39</v>
      </c>
      <c r="I13" s="79">
        <f>I14+I15</f>
        <v>207948.42</v>
      </c>
      <c r="J13" s="79">
        <f>J14+J15</f>
        <v>207948.42</v>
      </c>
      <c r="K13" s="60">
        <f>SUM(G13:J13)</f>
        <v>833894.58000000007</v>
      </c>
      <c r="L13" s="34"/>
      <c r="M13" s="34"/>
    </row>
    <row r="14" spans="2:13" s="42" customFormat="1" ht="18.75" hidden="1" customHeight="1" x14ac:dyDescent="0.2">
      <c r="B14" s="77" t="s">
        <v>28</v>
      </c>
      <c r="C14" s="80">
        <v>45136.18</v>
      </c>
      <c r="D14" s="80"/>
      <c r="E14" s="83">
        <v>126368.49</v>
      </c>
      <c r="F14" s="79"/>
      <c r="G14" s="79">
        <f>88613.81+C14</f>
        <v>133749.99</v>
      </c>
      <c r="H14" s="79">
        <v>88856.18</v>
      </c>
      <c r="I14" s="79">
        <v>125511.82</v>
      </c>
      <c r="J14" s="79">
        <v>125511.82</v>
      </c>
      <c r="K14" s="39"/>
      <c r="L14" s="40"/>
      <c r="M14" s="40"/>
    </row>
    <row r="15" spans="2:13" s="42" customFormat="1" ht="18.75" hidden="1" customHeight="1" x14ac:dyDescent="0.2">
      <c r="B15" s="77" t="s">
        <v>29</v>
      </c>
      <c r="C15" s="80">
        <v>32725.19</v>
      </c>
      <c r="D15" s="80"/>
      <c r="E15" s="83">
        <v>107019.24</v>
      </c>
      <c r="F15" s="79"/>
      <c r="G15" s="79">
        <f>81146.17+C15</f>
        <v>113871.36</v>
      </c>
      <c r="H15" s="79">
        <v>81520.210000000006</v>
      </c>
      <c r="I15" s="79">
        <v>82436.600000000006</v>
      </c>
      <c r="J15" s="79">
        <v>82436.600000000006</v>
      </c>
      <c r="K15" s="39"/>
      <c r="L15" s="40"/>
      <c r="M15" s="40"/>
    </row>
    <row r="16" spans="2:13" s="42" customFormat="1" ht="18.75" hidden="1" customHeight="1" x14ac:dyDescent="0.2">
      <c r="B16" s="77" t="s">
        <v>30</v>
      </c>
      <c r="C16" s="80"/>
      <c r="D16" s="80"/>
      <c r="E16" s="83"/>
      <c r="F16" s="79"/>
      <c r="G16" s="79"/>
      <c r="H16" s="79"/>
      <c r="I16" s="79"/>
      <c r="J16" s="79">
        <v>51238.559999999998</v>
      </c>
      <c r="K16" s="39"/>
      <c r="L16" s="40"/>
      <c r="M16" s="40"/>
    </row>
    <row r="17" spans="2:13" s="35" customFormat="1" ht="18.75" hidden="1" customHeight="1" x14ac:dyDescent="0.2">
      <c r="B17" s="77" t="s">
        <v>31</v>
      </c>
      <c r="C17" s="80">
        <f>19181.32</f>
        <v>19181.32</v>
      </c>
      <c r="D17" s="80"/>
      <c r="E17" s="79">
        <v>67466.820000000007</v>
      </c>
      <c r="F17" s="79" t="s">
        <v>4</v>
      </c>
      <c r="G17" s="79">
        <f>54248.07+C17</f>
        <v>73429.39</v>
      </c>
      <c r="H17" s="84">
        <v>68910.789999999994</v>
      </c>
      <c r="I17" s="84">
        <v>12829.47</v>
      </c>
      <c r="J17" s="79">
        <v>12829.47</v>
      </c>
      <c r="K17" s="33"/>
      <c r="L17" s="43">
        <f>SUM(G17:K17)</f>
        <v>167999.12</v>
      </c>
      <c r="M17" s="34"/>
    </row>
    <row r="18" spans="2:13" s="32" customFormat="1" ht="18.75" hidden="1" customHeight="1" x14ac:dyDescent="0.2">
      <c r="B18" s="85" t="s">
        <v>32</v>
      </c>
      <c r="C18" s="80">
        <f>4664.24+2106.18</f>
        <v>6770.42</v>
      </c>
      <c r="D18" s="80"/>
      <c r="E18" s="79">
        <f>16488.72+2466.55</f>
        <v>18955.27</v>
      </c>
      <c r="F18" s="79" t="s">
        <v>33</v>
      </c>
      <c r="G18" s="79">
        <f>(88613.81)*15/100+C18</f>
        <v>20062.491499999996</v>
      </c>
      <c r="H18" s="84">
        <f t="shared" ref="H18:J19" si="1">H14*15/100</f>
        <v>13328.427</v>
      </c>
      <c r="I18" s="84">
        <f t="shared" si="1"/>
        <v>18826.773000000001</v>
      </c>
      <c r="J18" s="84">
        <f t="shared" si="1"/>
        <v>18826.773000000001</v>
      </c>
      <c r="K18" s="71">
        <f>SUM(G18:J18)</f>
        <v>71044.464500000002</v>
      </c>
      <c r="L18" s="31"/>
      <c r="M18" s="31"/>
    </row>
    <row r="19" spans="2:13" s="32" customFormat="1" ht="18.75" hidden="1" customHeight="1" x14ac:dyDescent="0.2">
      <c r="B19" s="85" t="s">
        <v>34</v>
      </c>
      <c r="C19" s="80">
        <f>3211.19+1684.51</f>
        <v>4895.7</v>
      </c>
      <c r="D19" s="80"/>
      <c r="E19" s="79">
        <f>13809.72+2243.16</f>
        <v>16052.88</v>
      </c>
      <c r="F19" s="79" t="s">
        <v>33</v>
      </c>
      <c r="G19" s="79">
        <f>(81146.17)*15/100+C19</f>
        <v>17067.625500000002</v>
      </c>
      <c r="H19" s="84">
        <f t="shared" si="1"/>
        <v>12228.031500000001</v>
      </c>
      <c r="I19" s="84">
        <f t="shared" si="1"/>
        <v>12365.49</v>
      </c>
      <c r="J19" s="84">
        <f t="shared" si="1"/>
        <v>12365.49</v>
      </c>
      <c r="K19" s="71">
        <f>SUM(G19:J19)</f>
        <v>54026.637000000002</v>
      </c>
      <c r="L19" s="30"/>
      <c r="M19" s="31"/>
    </row>
    <row r="20" spans="2:13" s="32" customFormat="1" ht="18.75" hidden="1" customHeight="1" x14ac:dyDescent="0.2">
      <c r="B20" s="85" t="s">
        <v>35</v>
      </c>
      <c r="C20" s="80">
        <v>2877.2</v>
      </c>
      <c r="D20" s="80"/>
      <c r="E20" s="79">
        <f>3651.72+1745.83+C20</f>
        <v>8274.75</v>
      </c>
      <c r="F20" s="79" t="s">
        <v>33</v>
      </c>
      <c r="G20" s="79">
        <f>(54248.07)*15/100+C20</f>
        <v>11014.4105</v>
      </c>
      <c r="H20" s="84">
        <f>H17*15/100</f>
        <v>10336.618499999999</v>
      </c>
      <c r="I20" s="84">
        <f>I17*15/100</f>
        <v>1924.4204999999999</v>
      </c>
      <c r="J20" s="79">
        <f>J17*15/100</f>
        <v>1924.4204999999999</v>
      </c>
      <c r="K20" s="30"/>
      <c r="L20" s="44">
        <f>SUM(G20:K20)+C20</f>
        <v>28077.07</v>
      </c>
      <c r="M20" s="31"/>
    </row>
    <row r="21" spans="2:13" s="32" customFormat="1" ht="18.75" hidden="1" customHeight="1" x14ac:dyDescent="0.2">
      <c r="B21" s="77" t="s">
        <v>36</v>
      </c>
      <c r="C21" s="80"/>
      <c r="D21" s="80"/>
      <c r="E21" s="79">
        <v>0</v>
      </c>
      <c r="F21" s="79"/>
      <c r="G21" s="79"/>
      <c r="H21" s="84">
        <v>20000</v>
      </c>
      <c r="I21" s="84"/>
      <c r="J21" s="79"/>
      <c r="K21" s="30"/>
      <c r="L21" s="44"/>
      <c r="M21" s="31"/>
    </row>
    <row r="22" spans="2:13" s="32" customFormat="1" ht="18.75" hidden="1" customHeight="1" x14ac:dyDescent="0.2">
      <c r="B22" s="77"/>
      <c r="C22" s="80"/>
      <c r="D22" s="80"/>
      <c r="E22" s="79"/>
      <c r="F22" s="79"/>
      <c r="G22" s="79"/>
      <c r="H22" s="84"/>
      <c r="I22" s="84"/>
      <c r="J22" s="79"/>
      <c r="K22" s="30"/>
      <c r="L22" s="44"/>
      <c r="M22" s="31"/>
    </row>
    <row r="23" spans="2:13" s="63" customFormat="1" ht="34.15" hidden="1" customHeight="1" x14ac:dyDescent="0.25">
      <c r="B23" s="85" t="str">
        <f>B82</f>
        <v>CONTRIBUTI SU PROGETTI</v>
      </c>
      <c r="C23" s="80">
        <f>C82</f>
        <v>134302.52000000002</v>
      </c>
      <c r="D23" s="80">
        <f>D82</f>
        <v>0</v>
      </c>
      <c r="E23" s="79">
        <f>E24+E25+E26</f>
        <v>816334.93</v>
      </c>
      <c r="F23" s="79">
        <f t="shared" ref="F23:M23" si="2">F82</f>
        <v>0</v>
      </c>
      <c r="G23" s="79">
        <f t="shared" si="2"/>
        <v>1152455.6700000002</v>
      </c>
      <c r="H23" s="79">
        <f t="shared" si="2"/>
        <v>3438202.017</v>
      </c>
      <c r="I23" s="79">
        <f t="shared" si="2"/>
        <v>3764122.7635000004</v>
      </c>
      <c r="J23" s="79">
        <f t="shared" si="2"/>
        <v>1934816.1635000003</v>
      </c>
      <c r="K23" s="62">
        <f t="shared" si="2"/>
        <v>0</v>
      </c>
      <c r="L23" s="62">
        <f t="shared" si="2"/>
        <v>0</v>
      </c>
      <c r="M23" s="62">
        <f t="shared" si="2"/>
        <v>0</v>
      </c>
    </row>
    <row r="24" spans="2:13" s="65" customFormat="1" ht="30.6" hidden="1" customHeight="1" x14ac:dyDescent="0.2">
      <c r="B24" s="77" t="s">
        <v>37</v>
      </c>
      <c r="C24" s="80">
        <f>81504.43+4664.24</f>
        <v>86168.67</v>
      </c>
      <c r="D24" s="80"/>
      <c r="E24" s="79">
        <f>(86168.67+157132.81+320888.54-4664.24-5282.4-6542.08)</f>
        <v>547701.30000000005</v>
      </c>
      <c r="F24" s="79" t="s">
        <v>5</v>
      </c>
      <c r="G24" s="79">
        <f>E24+16443.67+7385.5+15081.47+214429.54</f>
        <v>801041.4800000001</v>
      </c>
      <c r="H24" s="84" t="e">
        <f>#REF!+#REF!+#REF!+#REF!</f>
        <v>#REF!</v>
      </c>
      <c r="I24" s="84" t="e">
        <f>#REF!+#REF!+#REF!+#REF!</f>
        <v>#REF!</v>
      </c>
      <c r="J24" s="79" t="e">
        <f>#REF!+#REF!+#REF!+#REF!</f>
        <v>#REF!</v>
      </c>
      <c r="K24" s="64" t="s">
        <v>38</v>
      </c>
      <c r="L24" s="64"/>
      <c r="M24" s="64"/>
    </row>
    <row r="25" spans="2:13" s="65" customFormat="1" ht="30.6" hidden="1" customHeight="1" x14ac:dyDescent="0.2">
      <c r="B25" s="77" t="s">
        <v>39</v>
      </c>
      <c r="C25" s="80">
        <f>44922.66+3211.19</f>
        <v>48133.850000000006</v>
      </c>
      <c r="D25" s="80"/>
      <c r="E25" s="79">
        <f>(48133.85+71990.74+92954.05-3211.19-4602.62-5995.9)</f>
        <v>199268.93000000002</v>
      </c>
      <c r="F25" s="79" t="s">
        <v>6</v>
      </c>
      <c r="G25" s="79">
        <f>E25+14954.43+6852.12+1732.4-3+8164.23</f>
        <v>230969.11000000002</v>
      </c>
      <c r="H25" s="84" t="e">
        <f>#REF!+#REF!+#REF!</f>
        <v>#REF!</v>
      </c>
      <c r="I25" s="84" t="e">
        <f t="shared" ref="I25:J25" si="3">#REF!+#REF!+#REF!</f>
        <v>#REF!</v>
      </c>
      <c r="J25" s="84" t="e">
        <f t="shared" si="3"/>
        <v>#REF!</v>
      </c>
      <c r="K25" s="66"/>
      <c r="L25" s="64"/>
      <c r="M25" s="64"/>
    </row>
    <row r="26" spans="2:13" s="65" customFormat="1" ht="21.75" hidden="1" customHeight="1" x14ac:dyDescent="0.2">
      <c r="B26" s="77" t="s">
        <v>40</v>
      </c>
      <c r="C26" s="80" t="s">
        <v>41</v>
      </c>
      <c r="D26" s="80"/>
      <c r="E26" s="79">
        <v>69364.7</v>
      </c>
      <c r="F26" s="79"/>
      <c r="G26" s="79">
        <f>E26+51080.38</f>
        <v>120445.07999999999</v>
      </c>
      <c r="H26" s="84" t="e">
        <f>#REF!+#REF!+#REF!</f>
        <v>#REF!</v>
      </c>
      <c r="I26" s="84" t="e">
        <f>#REF!+#REF!+#REF!</f>
        <v>#REF!</v>
      </c>
      <c r="J26" s="79" t="e">
        <f>#REF!+#REF!+#REF!</f>
        <v>#REF!</v>
      </c>
      <c r="K26" s="67"/>
      <c r="L26" s="67"/>
      <c r="M26" s="67"/>
    </row>
    <row r="27" spans="2:13" s="35" customFormat="1" ht="18.75" hidden="1" customHeight="1" x14ac:dyDescent="0.2">
      <c r="B27" s="77"/>
      <c r="C27" s="80"/>
      <c r="D27" s="80"/>
      <c r="E27" s="79"/>
      <c r="F27" s="79"/>
      <c r="G27" s="79"/>
      <c r="H27" s="84"/>
      <c r="I27" s="84"/>
      <c r="J27" s="79"/>
      <c r="K27" s="34"/>
      <c r="L27" s="34"/>
      <c r="M27" s="34"/>
    </row>
    <row r="28" spans="2:13" s="35" customFormat="1" ht="18.75" hidden="1" customHeight="1" x14ac:dyDescent="0.2">
      <c r="B28" s="77" t="s">
        <v>42</v>
      </c>
      <c r="C28" s="80"/>
      <c r="D28" s="80"/>
      <c r="E28" s="79">
        <f>E7-E23</f>
        <v>63984.910000000033</v>
      </c>
      <c r="F28" s="79"/>
      <c r="G28" s="79"/>
      <c r="H28" s="84"/>
      <c r="I28" s="84"/>
      <c r="J28" s="79"/>
      <c r="K28" s="34"/>
      <c r="L28" s="34"/>
      <c r="M28" s="34"/>
    </row>
    <row r="29" spans="2:13" s="35" customFormat="1" ht="18.75" hidden="1" customHeight="1" x14ac:dyDescent="0.2">
      <c r="B29" s="77"/>
      <c r="C29" s="80"/>
      <c r="D29" s="80"/>
      <c r="E29" s="79"/>
      <c r="F29" s="79"/>
      <c r="G29" s="79"/>
      <c r="H29" s="84"/>
      <c r="I29" s="84"/>
      <c r="J29" s="79"/>
      <c r="K29" s="34"/>
      <c r="L29" s="34"/>
      <c r="M29" s="34"/>
    </row>
    <row r="30" spans="2:13" s="32" customFormat="1" ht="18.75" hidden="1" customHeight="1" x14ac:dyDescent="0.2">
      <c r="B30" s="77" t="s">
        <v>43</v>
      </c>
      <c r="C30" s="80"/>
      <c r="D30" s="80"/>
      <c r="E30" s="79">
        <f>SUM(E31:E33)</f>
        <v>43282.9</v>
      </c>
      <c r="F30" s="79"/>
      <c r="G30" s="79">
        <f>SUM(G31:G33)</f>
        <v>48144.527499999997</v>
      </c>
      <c r="H30" s="84"/>
      <c r="I30" s="84"/>
      <c r="J30" s="79"/>
      <c r="K30" s="30"/>
      <c r="L30" s="44"/>
      <c r="M30" s="31"/>
    </row>
    <row r="31" spans="2:13" s="32" customFormat="1" ht="18.75" hidden="1" customHeight="1" x14ac:dyDescent="0.2">
      <c r="B31" s="85" t="str">
        <f t="shared" ref="B31:M33" si="4">B18</f>
        <v>(15% iti Salute) da togliere?? Su bilancio no DA CANCELLARE</v>
      </c>
      <c r="C31" s="80">
        <f t="shared" si="4"/>
        <v>6770.42</v>
      </c>
      <c r="D31" s="80">
        <f t="shared" si="4"/>
        <v>0</v>
      </c>
      <c r="E31" s="79">
        <f>(E18)</f>
        <v>18955.27</v>
      </c>
      <c r="F31" s="79" t="str">
        <f t="shared" ref="F31:M32" si="5">F18</f>
        <v>2017+ 2018??</v>
      </c>
      <c r="G31" s="79">
        <f t="shared" si="5"/>
        <v>20062.491499999996</v>
      </c>
      <c r="H31" s="84">
        <f t="shared" si="5"/>
        <v>13328.427</v>
      </c>
      <c r="I31" s="84">
        <f t="shared" si="5"/>
        <v>18826.773000000001</v>
      </c>
      <c r="J31" s="79">
        <f t="shared" si="5"/>
        <v>18826.773000000001</v>
      </c>
      <c r="K31" s="30">
        <f t="shared" si="5"/>
        <v>71044.464500000002</v>
      </c>
      <c r="L31" s="44">
        <f t="shared" si="5"/>
        <v>0</v>
      </c>
      <c r="M31" s="59">
        <f t="shared" si="5"/>
        <v>0</v>
      </c>
    </row>
    <row r="32" spans="2:13" s="32" customFormat="1" ht="18.75" hidden="1" customHeight="1" x14ac:dyDescent="0.2">
      <c r="B32" s="85" t="str">
        <f t="shared" si="4"/>
        <v>15% iti Isonzo da togliere?? Su bilancio no</v>
      </c>
      <c r="C32" s="80">
        <f t="shared" si="4"/>
        <v>4895.7</v>
      </c>
      <c r="D32" s="80">
        <f t="shared" si="4"/>
        <v>0</v>
      </c>
      <c r="E32" s="79">
        <f>(E19)</f>
        <v>16052.88</v>
      </c>
      <c r="F32" s="79" t="str">
        <f t="shared" si="5"/>
        <v>2017+ 2018??</v>
      </c>
      <c r="G32" s="79">
        <f t="shared" si="5"/>
        <v>17067.625500000002</v>
      </c>
      <c r="H32" s="84">
        <f t="shared" si="5"/>
        <v>12228.031500000001</v>
      </c>
      <c r="I32" s="84">
        <f t="shared" si="5"/>
        <v>12365.49</v>
      </c>
      <c r="J32" s="79">
        <f t="shared" si="5"/>
        <v>12365.49</v>
      </c>
      <c r="K32" s="30">
        <f t="shared" si="5"/>
        <v>54026.637000000002</v>
      </c>
      <c r="L32" s="44">
        <f t="shared" si="5"/>
        <v>0</v>
      </c>
      <c r="M32" s="59">
        <f t="shared" si="5"/>
        <v>0</v>
      </c>
    </row>
    <row r="33" spans="2:13" s="32" customFormat="1" ht="18.75" hidden="1" customHeight="1" x14ac:dyDescent="0.2">
      <c r="B33" s="85" t="str">
        <f t="shared" si="4"/>
        <v>15% cycle da togliere?? Su bilancio no</v>
      </c>
      <c r="C33" s="80">
        <f t="shared" si="4"/>
        <v>2877.2</v>
      </c>
      <c r="D33" s="80">
        <f t="shared" si="4"/>
        <v>0</v>
      </c>
      <c r="E33" s="79">
        <f t="shared" si="4"/>
        <v>8274.75</v>
      </c>
      <c r="F33" s="79" t="str">
        <f t="shared" si="4"/>
        <v>2017+ 2018??</v>
      </c>
      <c r="G33" s="79">
        <f t="shared" si="4"/>
        <v>11014.4105</v>
      </c>
      <c r="H33" s="84">
        <f t="shared" si="4"/>
        <v>10336.618499999999</v>
      </c>
      <c r="I33" s="84">
        <f t="shared" si="4"/>
        <v>1924.4204999999999</v>
      </c>
      <c r="J33" s="79">
        <f t="shared" si="4"/>
        <v>1924.4204999999999</v>
      </c>
      <c r="K33" s="30">
        <f t="shared" si="4"/>
        <v>0</v>
      </c>
      <c r="L33" s="44">
        <f t="shared" si="4"/>
        <v>28077.07</v>
      </c>
      <c r="M33" s="59">
        <f t="shared" si="4"/>
        <v>0</v>
      </c>
    </row>
    <row r="34" spans="2:13" s="32" customFormat="1" ht="18.75" hidden="1" customHeight="1" x14ac:dyDescent="0.2">
      <c r="B34" s="85"/>
      <c r="C34" s="80"/>
      <c r="D34" s="80"/>
      <c r="E34" s="79"/>
      <c r="F34" s="79"/>
      <c r="G34" s="79"/>
      <c r="H34" s="84"/>
      <c r="I34" s="84"/>
      <c r="J34" s="79"/>
      <c r="K34" s="30"/>
      <c r="L34" s="44"/>
      <c r="M34" s="59"/>
    </row>
    <row r="35" spans="2:13" s="32" customFormat="1" ht="18.75" hidden="1" customHeight="1" x14ac:dyDescent="0.2">
      <c r="B35" s="85" t="s">
        <v>44</v>
      </c>
      <c r="C35" s="80"/>
      <c r="D35" s="80"/>
      <c r="E35" s="79">
        <f>209379.83-203015.06</f>
        <v>6364.7699999999895</v>
      </c>
      <c r="F35" s="79"/>
      <c r="G35" s="79"/>
      <c r="H35" s="84"/>
      <c r="I35" s="84"/>
      <c r="J35" s="79"/>
      <c r="K35" s="30"/>
      <c r="L35" s="44"/>
      <c r="M35" s="59"/>
    </row>
    <row r="36" spans="2:13" s="32" customFormat="1" ht="18.75" hidden="1" customHeight="1" x14ac:dyDescent="0.2">
      <c r="B36" s="77"/>
      <c r="C36" s="80"/>
      <c r="D36" s="80"/>
      <c r="E36" s="79"/>
      <c r="F36" s="79"/>
      <c r="G36" s="79"/>
      <c r="H36" s="84"/>
      <c r="I36" s="84"/>
      <c r="J36" s="79"/>
      <c r="K36" s="30"/>
      <c r="L36" s="44"/>
      <c r="M36" s="31"/>
    </row>
    <row r="37" spans="2:13" s="32" customFormat="1" ht="18.75" hidden="1" customHeight="1" x14ac:dyDescent="0.2">
      <c r="B37" s="77"/>
      <c r="C37" s="80"/>
      <c r="D37" s="80"/>
      <c r="E37" s="79"/>
      <c r="F37" s="79"/>
      <c r="G37" s="79"/>
      <c r="H37" s="84"/>
      <c r="I37" s="84"/>
      <c r="J37" s="79"/>
      <c r="K37" s="30"/>
      <c r="L37" s="44"/>
      <c r="M37" s="31"/>
    </row>
    <row r="38" spans="2:13" s="35" customFormat="1" ht="18.75" hidden="1" customHeight="1" x14ac:dyDescent="0.2">
      <c r="B38" s="77" t="s">
        <v>45</v>
      </c>
      <c r="C38" s="80"/>
      <c r="D38" s="80"/>
      <c r="E38" s="79">
        <v>8000</v>
      </c>
      <c r="F38" s="79"/>
      <c r="G38" s="79">
        <v>8000</v>
      </c>
      <c r="H38" s="84">
        <f>G38+12000</f>
        <v>20000</v>
      </c>
      <c r="I38" s="84"/>
      <c r="J38" s="79"/>
      <c r="K38" s="34"/>
      <c r="L38" s="34"/>
      <c r="M38" s="34"/>
    </row>
    <row r="39" spans="2:13" s="35" customFormat="1" ht="18.75" hidden="1" customHeight="1" x14ac:dyDescent="0.2">
      <c r="B39" s="77"/>
      <c r="C39" s="80"/>
      <c r="D39" s="80"/>
      <c r="E39" s="79"/>
      <c r="F39" s="79"/>
      <c r="G39" s="79"/>
      <c r="H39" s="84"/>
      <c r="I39" s="84"/>
      <c r="J39" s="79"/>
      <c r="K39" s="34"/>
      <c r="L39" s="34"/>
      <c r="M39" s="34"/>
    </row>
    <row r="40" spans="2:13" s="35" customFormat="1" ht="18.75" hidden="1" customHeight="1" x14ac:dyDescent="0.2">
      <c r="B40" s="77" t="s">
        <v>46</v>
      </c>
      <c r="C40" s="80"/>
      <c r="D40" s="80"/>
      <c r="E40" s="79"/>
      <c r="F40" s="79"/>
      <c r="G40" s="79"/>
      <c r="H40" s="84"/>
      <c r="I40" s="84"/>
      <c r="J40" s="79"/>
      <c r="K40" s="34"/>
      <c r="L40" s="34"/>
      <c r="M40" s="34"/>
    </row>
    <row r="41" spans="2:13" s="41" customFormat="1" ht="25.5" hidden="1" customHeight="1" x14ac:dyDescent="0.2">
      <c r="B41" s="78" t="s">
        <v>47</v>
      </c>
      <c r="C41" s="80">
        <f>C42</f>
        <v>5466.95</v>
      </c>
      <c r="D41" s="77"/>
      <c r="E41" s="79">
        <f>E42</f>
        <v>5466.95</v>
      </c>
      <c r="F41" s="83"/>
      <c r="G41" s="86">
        <f>G42</f>
        <v>11188.75</v>
      </c>
      <c r="H41" s="84">
        <f>H42</f>
        <v>11188.75</v>
      </c>
      <c r="I41" s="84">
        <f>I42</f>
        <v>11188.75</v>
      </c>
      <c r="J41" s="79">
        <f>J42</f>
        <v>11188.75</v>
      </c>
      <c r="K41" s="74"/>
      <c r="L41" s="74"/>
      <c r="M41" s="74"/>
    </row>
    <row r="42" spans="2:13" s="76" customFormat="1" ht="30.75" hidden="1" customHeight="1" x14ac:dyDescent="0.2">
      <c r="B42" s="77" t="s">
        <v>48</v>
      </c>
      <c r="C42" s="80">
        <v>5466.95</v>
      </c>
      <c r="D42" s="77"/>
      <c r="E42" s="79">
        <v>5466.95</v>
      </c>
      <c r="F42" s="83" t="s">
        <v>49</v>
      </c>
      <c r="G42" s="86">
        <f>E42+4989.8+732</f>
        <v>11188.75</v>
      </c>
      <c r="H42" s="84">
        <v>11188.75</v>
      </c>
      <c r="I42" s="84">
        <v>11188.75</v>
      </c>
      <c r="J42" s="79">
        <v>11188.75</v>
      </c>
      <c r="K42" s="75"/>
      <c r="L42" s="75"/>
      <c r="M42" s="75"/>
    </row>
    <row r="43" spans="2:13" s="16" customFormat="1" ht="25.5" hidden="1" customHeight="1" x14ac:dyDescent="0.2">
      <c r="B43" s="77" t="s">
        <v>50</v>
      </c>
      <c r="C43" s="80">
        <f>SUM(C44:C48)</f>
        <v>4203.75</v>
      </c>
      <c r="D43" s="77"/>
      <c r="E43" s="79">
        <f>SUM(E44:E48)</f>
        <v>6855.66</v>
      </c>
      <c r="F43" s="83"/>
      <c r="G43" s="79">
        <f>SUM(G44:G48)</f>
        <v>12711.659999999998</v>
      </c>
      <c r="H43" s="79">
        <f>SUM(H44:H48)</f>
        <v>20031.66</v>
      </c>
      <c r="I43" s="79">
        <f>SUM(I44:I48)</f>
        <v>20031.66</v>
      </c>
      <c r="J43" s="79">
        <f>SUM(J44:J48)</f>
        <v>20031.66</v>
      </c>
      <c r="K43" s="15"/>
      <c r="L43" s="15"/>
      <c r="M43" s="15"/>
    </row>
    <row r="44" spans="2:13" s="38" customFormat="1" ht="39.75" hidden="1" customHeight="1" x14ac:dyDescent="0.2">
      <c r="B44" s="77" t="s">
        <v>51</v>
      </c>
      <c r="C44" s="80">
        <v>2944.1</v>
      </c>
      <c r="D44" s="77"/>
      <c r="E44" s="79">
        <v>4069.41</v>
      </c>
      <c r="F44" s="83"/>
      <c r="G44" s="79">
        <f>E44</f>
        <v>4069.41</v>
      </c>
      <c r="H44" s="79">
        <v>4069.41</v>
      </c>
      <c r="I44" s="79">
        <f t="shared" ref="I44:J44" si="6">G44</f>
        <v>4069.41</v>
      </c>
      <c r="J44" s="79">
        <f t="shared" si="6"/>
        <v>4069.41</v>
      </c>
      <c r="K44" s="2"/>
      <c r="L44" s="2"/>
      <c r="M44" s="2"/>
    </row>
    <row r="45" spans="2:13" s="38" customFormat="1" ht="39.75" hidden="1" customHeight="1" x14ac:dyDescent="0.2">
      <c r="B45" s="77" t="s">
        <v>52</v>
      </c>
      <c r="C45" s="80"/>
      <c r="D45" s="77"/>
      <c r="E45" s="79"/>
      <c r="F45" s="83"/>
      <c r="G45" s="86">
        <v>5856</v>
      </c>
      <c r="H45" s="86">
        <v>5856</v>
      </c>
      <c r="I45" s="86">
        <v>5856</v>
      </c>
      <c r="J45" s="79">
        <v>5856</v>
      </c>
      <c r="K45" s="2"/>
      <c r="L45" s="2"/>
      <c r="M45" s="2"/>
    </row>
    <row r="46" spans="2:13" s="38" customFormat="1" ht="18.75" hidden="1" customHeight="1" x14ac:dyDescent="0.2">
      <c r="B46" s="77" t="s">
        <v>53</v>
      </c>
      <c r="C46" s="80">
        <v>1259.6500000000001</v>
      </c>
      <c r="D46" s="77"/>
      <c r="E46" s="79">
        <f>1470.71</f>
        <v>1470.71</v>
      </c>
      <c r="F46" s="83"/>
      <c r="G46" s="79">
        <f>E46</f>
        <v>1470.71</v>
      </c>
      <c r="H46" s="79">
        <v>1470.71</v>
      </c>
      <c r="I46" s="79">
        <f>G46</f>
        <v>1470.71</v>
      </c>
      <c r="J46" s="79">
        <f>H46</f>
        <v>1470.71</v>
      </c>
      <c r="K46" s="2"/>
      <c r="L46" s="2"/>
      <c r="M46" s="2"/>
    </row>
    <row r="47" spans="2:13" s="38" customFormat="1" ht="18.75" hidden="1" customHeight="1" x14ac:dyDescent="0.2">
      <c r="B47" s="77" t="s">
        <v>54</v>
      </c>
      <c r="C47" s="80">
        <v>0</v>
      </c>
      <c r="D47" s="77"/>
      <c r="E47" s="79">
        <f>1022.74</f>
        <v>1022.74</v>
      </c>
      <c r="F47" s="83"/>
      <c r="G47" s="79">
        <f>E47</f>
        <v>1022.74</v>
      </c>
      <c r="H47" s="84">
        <f>G47+7320</f>
        <v>8342.74</v>
      </c>
      <c r="I47" s="84">
        <v>8342.74</v>
      </c>
      <c r="J47" s="79">
        <v>8342.74</v>
      </c>
      <c r="K47" s="2"/>
      <c r="L47" s="2"/>
      <c r="M47" s="2"/>
    </row>
    <row r="48" spans="2:13" s="38" customFormat="1" ht="18.75" hidden="1" customHeight="1" x14ac:dyDescent="0.2">
      <c r="B48" s="77" t="s">
        <v>55</v>
      </c>
      <c r="C48" s="80"/>
      <c r="D48" s="80"/>
      <c r="E48" s="79">
        <v>292.8</v>
      </c>
      <c r="F48" s="79"/>
      <c r="G48" s="79">
        <v>292.8</v>
      </c>
      <c r="H48" s="84">
        <v>292.8</v>
      </c>
      <c r="I48" s="84">
        <v>292.8</v>
      </c>
      <c r="J48" s="79">
        <v>292.8</v>
      </c>
      <c r="K48" s="2"/>
      <c r="L48" s="2"/>
      <c r="M48" s="2"/>
    </row>
    <row r="49" spans="2:13" s="29" customFormat="1" ht="18.75" hidden="1" customHeight="1" x14ac:dyDescent="0.25">
      <c r="B49" s="85" t="s">
        <v>56</v>
      </c>
      <c r="C49" s="80">
        <f>SUM(C50:C57)</f>
        <v>167962.18000000002</v>
      </c>
      <c r="D49" s="80"/>
      <c r="E49" s="79">
        <f>SUM(E50:E57)</f>
        <v>702725.39</v>
      </c>
      <c r="F49" s="79"/>
      <c r="G49" s="79">
        <f>SUM(G50:G57)</f>
        <v>702725.39</v>
      </c>
      <c r="H49" s="84"/>
      <c r="I49" s="84"/>
      <c r="J49" s="79"/>
      <c r="K49" s="28"/>
      <c r="L49" s="21"/>
      <c r="M49" s="21"/>
    </row>
    <row r="50" spans="2:13" s="42" customFormat="1" ht="18.75" hidden="1" customHeight="1" x14ac:dyDescent="0.2">
      <c r="B50" s="85" t="s">
        <v>57</v>
      </c>
      <c r="C50" s="80">
        <v>508.64</v>
      </c>
      <c r="D50" s="80"/>
      <c r="E50" s="79">
        <v>278.06</v>
      </c>
      <c r="F50" s="79"/>
      <c r="G50" s="79">
        <f>E50</f>
        <v>278.06</v>
      </c>
      <c r="H50" s="84"/>
      <c r="I50" s="84"/>
      <c r="J50" s="79"/>
      <c r="K50" s="39"/>
      <c r="L50" s="40"/>
      <c r="M50" s="40"/>
    </row>
    <row r="51" spans="2:13" s="42" customFormat="1" ht="18.75" hidden="1" customHeight="1" x14ac:dyDescent="0.2">
      <c r="B51" s="85" t="s">
        <v>58</v>
      </c>
      <c r="C51" s="80"/>
      <c r="D51" s="80"/>
      <c r="E51" s="79">
        <v>100</v>
      </c>
      <c r="F51" s="79"/>
      <c r="G51" s="79">
        <f t="shared" ref="G51:G57" si="7">E51</f>
        <v>100</v>
      </c>
      <c r="H51" s="84"/>
      <c r="I51" s="84"/>
      <c r="J51" s="79"/>
      <c r="K51" s="39"/>
      <c r="L51" s="40"/>
      <c r="M51" s="40"/>
    </row>
    <row r="52" spans="2:13" s="42" customFormat="1" ht="18.75" hidden="1" customHeight="1" x14ac:dyDescent="0.2">
      <c r="B52" s="85" t="s">
        <v>59</v>
      </c>
      <c r="C52" s="80">
        <v>81504.429999999993</v>
      </c>
      <c r="D52" s="80"/>
      <c r="E52" s="79">
        <v>466196.87</v>
      </c>
      <c r="F52" s="79"/>
      <c r="G52" s="79">
        <f t="shared" si="7"/>
        <v>466196.87</v>
      </c>
      <c r="H52" s="84"/>
      <c r="I52" s="84"/>
      <c r="J52" s="79"/>
      <c r="K52" s="39"/>
      <c r="L52" s="40"/>
      <c r="M52" s="40"/>
    </row>
    <row r="53" spans="2:13" s="42" customFormat="1" ht="18.75" hidden="1" customHeight="1" x14ac:dyDescent="0.2">
      <c r="B53" s="85" t="s">
        <v>60</v>
      </c>
      <c r="C53" s="80">
        <v>44922.67</v>
      </c>
      <c r="D53" s="80"/>
      <c r="E53" s="79">
        <v>154346.26999999999</v>
      </c>
      <c r="F53" s="79"/>
      <c r="G53" s="79">
        <f t="shared" si="7"/>
        <v>154346.26999999999</v>
      </c>
      <c r="H53" s="84"/>
      <c r="I53" s="84"/>
      <c r="J53" s="79"/>
      <c r="K53" s="39"/>
      <c r="L53" s="40"/>
      <c r="M53" s="40"/>
    </row>
    <row r="54" spans="2:13" s="42" customFormat="1" ht="18.75" hidden="1" customHeight="1" x14ac:dyDescent="0.2">
      <c r="B54" s="85" t="s">
        <v>61</v>
      </c>
      <c r="C54" s="80">
        <f>26483.13</f>
        <v>26483.13</v>
      </c>
      <c r="D54" s="80"/>
      <c r="E54" s="79">
        <v>46997.08</v>
      </c>
      <c r="F54" s="79"/>
      <c r="G54" s="79">
        <f t="shared" si="7"/>
        <v>46997.08</v>
      </c>
      <c r="H54" s="84"/>
      <c r="I54" s="84"/>
      <c r="J54" s="79"/>
      <c r="K54" s="39"/>
      <c r="L54" s="40"/>
      <c r="M54" s="40"/>
    </row>
    <row r="55" spans="2:13" s="42" customFormat="1" ht="34.5" hidden="1" customHeight="1" x14ac:dyDescent="0.2">
      <c r="B55" s="85" t="s">
        <v>62</v>
      </c>
      <c r="C55" s="80">
        <v>6770.42</v>
      </c>
      <c r="D55" s="80"/>
      <c r="E55" s="79">
        <v>14291.03</v>
      </c>
      <c r="F55" s="79" t="s">
        <v>63</v>
      </c>
      <c r="G55" s="79">
        <f t="shared" si="7"/>
        <v>14291.03</v>
      </c>
      <c r="H55" s="84"/>
      <c r="I55" s="84"/>
      <c r="J55" s="79"/>
      <c r="K55" s="39"/>
      <c r="L55" s="40"/>
      <c r="M55" s="40"/>
    </row>
    <row r="56" spans="2:13" s="42" customFormat="1" ht="18.75" hidden="1" customHeight="1" x14ac:dyDescent="0.2">
      <c r="B56" s="85" t="s">
        <v>64</v>
      </c>
      <c r="C56" s="80">
        <v>4895.7</v>
      </c>
      <c r="D56" s="80"/>
      <c r="E56" s="79">
        <v>12841.68</v>
      </c>
      <c r="F56" s="79"/>
      <c r="G56" s="79">
        <f t="shared" si="7"/>
        <v>12841.68</v>
      </c>
      <c r="H56" s="84"/>
      <c r="I56" s="84"/>
      <c r="J56" s="79"/>
      <c r="K56" s="39"/>
      <c r="L56" s="40"/>
      <c r="M56" s="40"/>
    </row>
    <row r="57" spans="2:13" s="42" customFormat="1" ht="18.75" hidden="1" customHeight="1" x14ac:dyDescent="0.2">
      <c r="B57" s="85" t="s">
        <v>65</v>
      </c>
      <c r="C57" s="80">
        <v>2877.19</v>
      </c>
      <c r="D57" s="80"/>
      <c r="E57" s="79">
        <v>7674.4</v>
      </c>
      <c r="F57" s="79"/>
      <c r="G57" s="79">
        <f t="shared" si="7"/>
        <v>7674.4</v>
      </c>
      <c r="H57" s="84"/>
      <c r="I57" s="84"/>
      <c r="J57" s="79"/>
      <c r="K57" s="39"/>
      <c r="L57" s="40"/>
      <c r="M57" s="40"/>
    </row>
    <row r="58" spans="2:13" s="29" customFormat="1" ht="18.75" hidden="1" customHeight="1" x14ac:dyDescent="0.25">
      <c r="B58" s="85" t="s">
        <v>66</v>
      </c>
      <c r="C58" s="80">
        <f>SUM(C59:C61)</f>
        <v>434162.74000000005</v>
      </c>
      <c r="D58" s="80"/>
      <c r="E58" s="79">
        <f>SUM(E59:E61)</f>
        <v>-65223.08</v>
      </c>
      <c r="F58" s="79"/>
      <c r="G58" s="79">
        <f>SUM(G59:G61)</f>
        <v>-65223.08</v>
      </c>
      <c r="H58" s="84"/>
      <c r="I58" s="84"/>
      <c r="J58" s="79"/>
      <c r="K58" s="28"/>
      <c r="L58" s="21"/>
      <c r="M58" s="21"/>
    </row>
    <row r="59" spans="2:13" s="41" customFormat="1" ht="18.75" hidden="1" customHeight="1" x14ac:dyDescent="0.2">
      <c r="B59" s="85" t="s">
        <v>67</v>
      </c>
      <c r="C59" s="80">
        <v>433948.9</v>
      </c>
      <c r="D59" s="80"/>
      <c r="E59" s="79">
        <v>114563.08</v>
      </c>
      <c r="F59" s="79"/>
      <c r="G59" s="79">
        <f>E59</f>
        <v>114563.08</v>
      </c>
      <c r="H59" s="84"/>
      <c r="I59" s="84"/>
      <c r="J59" s="79"/>
      <c r="K59" s="39"/>
      <c r="L59" s="40"/>
      <c r="M59" s="40"/>
    </row>
    <row r="60" spans="2:13" s="41" customFormat="1" ht="18.75" hidden="1" customHeight="1" x14ac:dyDescent="0.2">
      <c r="B60" s="85" t="s">
        <v>68</v>
      </c>
      <c r="C60" s="80"/>
      <c r="D60" s="80"/>
      <c r="E60" s="79">
        <v>-180000</v>
      </c>
      <c r="F60" s="79"/>
      <c r="G60" s="79">
        <f>E60</f>
        <v>-180000</v>
      </c>
      <c r="H60" s="84"/>
      <c r="I60" s="84"/>
      <c r="J60" s="79"/>
      <c r="K60" s="39"/>
      <c r="L60" s="40"/>
      <c r="M60" s="40"/>
    </row>
    <row r="61" spans="2:13" s="41" customFormat="1" ht="18.75" hidden="1" customHeight="1" x14ac:dyDescent="0.2">
      <c r="B61" s="85" t="s">
        <v>69</v>
      </c>
      <c r="C61" s="80">
        <v>213.84</v>
      </c>
      <c r="D61" s="80"/>
      <c r="E61" s="79">
        <f>C61</f>
        <v>213.84</v>
      </c>
      <c r="F61" s="79"/>
      <c r="G61" s="79">
        <f>E61</f>
        <v>213.84</v>
      </c>
      <c r="H61" s="84"/>
      <c r="I61" s="84"/>
      <c r="J61" s="79"/>
      <c r="K61" s="39"/>
      <c r="L61" s="40"/>
      <c r="M61" s="40"/>
    </row>
    <row r="62" spans="2:13" ht="18.75" hidden="1" customHeight="1" x14ac:dyDescent="0.2">
      <c r="B62" s="77" t="s">
        <v>70</v>
      </c>
      <c r="D62" s="80"/>
      <c r="E62" s="79">
        <f>E64+E66+E69+E70+E71+E72+E76+E82+E86</f>
        <v>1517103.77</v>
      </c>
      <c r="F62" s="79"/>
      <c r="G62" s="79">
        <f>E62</f>
        <v>1517103.77</v>
      </c>
      <c r="H62" s="84"/>
      <c r="I62" s="84"/>
      <c r="J62" s="79"/>
      <c r="K62" s="8"/>
    </row>
    <row r="63" spans="2:13" ht="18.75" hidden="1" customHeight="1" x14ac:dyDescent="0.2">
      <c r="B63" s="77" t="s">
        <v>71</v>
      </c>
      <c r="D63" s="80"/>
      <c r="E63" s="79"/>
      <c r="F63" s="79"/>
      <c r="G63" s="79"/>
      <c r="H63" s="84"/>
      <c r="I63" s="84"/>
      <c r="J63" s="79"/>
      <c r="K63" s="8"/>
    </row>
    <row r="64" spans="2:13" s="37" customFormat="1" ht="18.75" hidden="1" customHeight="1" x14ac:dyDescent="0.2">
      <c r="B64" s="77" t="s">
        <v>72</v>
      </c>
      <c r="C64" s="80">
        <f>C65</f>
        <v>40000</v>
      </c>
      <c r="D64" s="80"/>
      <c r="E64" s="79">
        <f>E65</f>
        <v>40000</v>
      </c>
      <c r="F64" s="79"/>
      <c r="G64" s="79">
        <v>40000</v>
      </c>
      <c r="H64" s="84"/>
      <c r="I64" s="84"/>
      <c r="J64" s="79"/>
      <c r="K64" s="36"/>
      <c r="L64" s="1"/>
      <c r="M64" s="1"/>
    </row>
    <row r="65" spans="2:13" s="50" customFormat="1" ht="18.75" hidden="1" customHeight="1" x14ac:dyDescent="0.2">
      <c r="B65" s="77" t="s">
        <v>73</v>
      </c>
      <c r="C65" s="80">
        <v>40000</v>
      </c>
      <c r="D65" s="80"/>
      <c r="E65" s="79">
        <v>40000</v>
      </c>
      <c r="F65" s="79"/>
      <c r="G65" s="79"/>
      <c r="H65" s="84"/>
      <c r="I65" s="84"/>
      <c r="J65" s="79"/>
      <c r="K65" s="48"/>
      <c r="L65" s="49"/>
      <c r="M65" s="49"/>
    </row>
    <row r="66" spans="2:13" s="47" customFormat="1" ht="18.75" hidden="1" customHeight="1" x14ac:dyDescent="0.2">
      <c r="B66" s="77" t="s">
        <v>74</v>
      </c>
      <c r="C66" s="80">
        <f>SUM(C67:C68)</f>
        <v>9497.0499999999993</v>
      </c>
      <c r="D66" s="80"/>
      <c r="E66" s="79">
        <f>SUM(E67:E68)</f>
        <v>76357.350000000006</v>
      </c>
      <c r="F66" s="79"/>
      <c r="G66" s="79">
        <f>SUM(G67:G68)</f>
        <v>76357.350000000006</v>
      </c>
      <c r="H66" s="84"/>
      <c r="I66" s="84"/>
      <c r="J66" s="79"/>
      <c r="K66" s="45"/>
      <c r="L66" s="46"/>
      <c r="M66" s="46"/>
    </row>
    <row r="67" spans="2:13" s="50" customFormat="1" ht="18.75" hidden="1" customHeight="1" x14ac:dyDescent="0.2">
      <c r="B67" s="77" t="s">
        <v>75</v>
      </c>
      <c r="C67" s="80">
        <v>9497.0499999999993</v>
      </c>
      <c r="D67" s="80"/>
      <c r="E67" s="79">
        <f>9497.05+66860.3</f>
        <v>76357.350000000006</v>
      </c>
      <c r="F67" s="79"/>
      <c r="G67" s="79">
        <f>9497.05+66860.3</f>
        <v>76357.350000000006</v>
      </c>
      <c r="H67" s="84"/>
      <c r="I67" s="84"/>
      <c r="J67" s="79"/>
      <c r="K67" s="48"/>
      <c r="L67" s="49"/>
      <c r="M67" s="49"/>
    </row>
    <row r="68" spans="2:13" s="50" customFormat="1" ht="18.75" hidden="1" customHeight="1" x14ac:dyDescent="0.2">
      <c r="B68" s="77" t="s">
        <v>76</v>
      </c>
      <c r="C68" s="80"/>
      <c r="D68" s="80"/>
      <c r="E68" s="79"/>
      <c r="F68" s="79"/>
      <c r="G68" s="79"/>
      <c r="H68" s="84"/>
      <c r="I68" s="84"/>
      <c r="J68" s="79"/>
      <c r="K68" s="48"/>
      <c r="L68" s="49"/>
      <c r="M68" s="49"/>
    </row>
    <row r="69" spans="2:13" s="37" customFormat="1" ht="18.75" hidden="1" customHeight="1" x14ac:dyDescent="0.2">
      <c r="B69" s="85" t="s">
        <v>77</v>
      </c>
      <c r="C69" s="80">
        <v>0</v>
      </c>
      <c r="D69" s="80"/>
      <c r="E69" s="79">
        <v>4036.21</v>
      </c>
      <c r="F69" s="79"/>
      <c r="G69" s="79">
        <f>E69+1927.69+(2360.66*4)+(80.56*3)</f>
        <v>15648.22</v>
      </c>
      <c r="H69" s="84"/>
      <c r="I69" s="84"/>
      <c r="J69" s="79"/>
      <c r="K69" s="36"/>
      <c r="L69" s="1"/>
      <c r="M69" s="1"/>
    </row>
    <row r="70" spans="2:13" s="29" customFormat="1" ht="18.75" hidden="1" customHeight="1" x14ac:dyDescent="0.25">
      <c r="B70" s="85" t="s">
        <v>78</v>
      </c>
      <c r="C70" s="80"/>
      <c r="D70" s="80"/>
      <c r="E70" s="79">
        <v>4895.91</v>
      </c>
      <c r="F70" s="79"/>
      <c r="G70" s="79">
        <f>E70</f>
        <v>4895.91</v>
      </c>
      <c r="H70" s="84"/>
      <c r="I70" s="84"/>
      <c r="J70" s="79"/>
      <c r="K70" s="28"/>
      <c r="L70" s="21"/>
      <c r="M70" s="21"/>
    </row>
    <row r="71" spans="2:13" s="29" customFormat="1" ht="18.75" hidden="1" customHeight="1" x14ac:dyDescent="0.25">
      <c r="B71" s="85" t="s">
        <v>79</v>
      </c>
      <c r="C71" s="80"/>
      <c r="D71" s="80"/>
      <c r="E71" s="79">
        <v>5037.08</v>
      </c>
      <c r="F71" s="79"/>
      <c r="G71" s="79">
        <f>E71</f>
        <v>5037.08</v>
      </c>
      <c r="H71" s="84"/>
      <c r="I71" s="84"/>
      <c r="J71" s="79"/>
      <c r="K71" s="28"/>
      <c r="L71" s="21"/>
      <c r="M71" s="21"/>
    </row>
    <row r="72" spans="2:13" s="53" customFormat="1" ht="18.75" hidden="1" customHeight="1" x14ac:dyDescent="0.25">
      <c r="B72" s="85" t="s">
        <v>80</v>
      </c>
      <c r="C72" s="80"/>
      <c r="D72" s="80"/>
      <c r="E72" s="79">
        <f>E73+E74+E75</f>
        <v>560199.78</v>
      </c>
      <c r="F72" s="79"/>
      <c r="G72" s="79">
        <f>G73+G74+G75</f>
        <v>560199.78</v>
      </c>
      <c r="H72" s="84"/>
      <c r="I72" s="84"/>
      <c r="J72" s="79"/>
      <c r="K72" s="51"/>
      <c r="L72" s="52"/>
      <c r="M72" s="52"/>
    </row>
    <row r="73" spans="2:13" ht="18.75" hidden="1" customHeight="1" x14ac:dyDescent="0.2">
      <c r="B73" s="85" t="s">
        <v>81</v>
      </c>
      <c r="D73" s="80"/>
      <c r="E73" s="79">
        <v>500000</v>
      </c>
      <c r="F73" s="79"/>
      <c r="G73" s="79">
        <f>E73</f>
        <v>500000</v>
      </c>
      <c r="H73" s="84"/>
      <c r="I73" s="84"/>
      <c r="J73" s="79"/>
      <c r="K73" s="8"/>
    </row>
    <row r="74" spans="2:13" ht="18.75" hidden="1" customHeight="1" x14ac:dyDescent="0.2">
      <c r="B74" s="85" t="s">
        <v>82</v>
      </c>
      <c r="D74" s="80"/>
      <c r="E74" s="79">
        <v>60000</v>
      </c>
      <c r="F74" s="79"/>
      <c r="G74" s="79">
        <f>E74</f>
        <v>60000</v>
      </c>
      <c r="H74" s="84"/>
      <c r="I74" s="84"/>
      <c r="J74" s="79"/>
      <c r="K74" s="8"/>
    </row>
    <row r="75" spans="2:13" ht="18.75" hidden="1" customHeight="1" x14ac:dyDescent="0.2">
      <c r="B75" s="85" t="s">
        <v>83</v>
      </c>
      <c r="D75" s="80"/>
      <c r="E75" s="79">
        <f>200-0.2-0.02</f>
        <v>199.78</v>
      </c>
      <c r="F75" s="79"/>
      <c r="G75" s="79">
        <f>E75</f>
        <v>199.78</v>
      </c>
      <c r="H75" s="84"/>
      <c r="I75" s="84"/>
      <c r="J75" s="79"/>
      <c r="K75" s="8"/>
    </row>
    <row r="76" spans="2:13" s="29" customFormat="1" ht="18.75" hidden="1" customHeight="1" x14ac:dyDescent="0.25">
      <c r="B76" s="85" t="s">
        <v>84</v>
      </c>
      <c r="C76" s="80">
        <f>C77+C78+C79</f>
        <v>2242.5099999999998</v>
      </c>
      <c r="D76" s="80"/>
      <c r="E76" s="79">
        <f>SUM(E77:E79)</f>
        <v>2242.5099999999998</v>
      </c>
      <c r="F76" s="79"/>
      <c r="G76" s="79">
        <f>G77+G78+G79+G80+G81</f>
        <v>7117.79</v>
      </c>
      <c r="H76" s="79">
        <f>H77+H78+H79+H80+H81</f>
        <v>13091.62</v>
      </c>
      <c r="I76" s="79">
        <f>I77+I78+I79+I80+I81</f>
        <v>17243.339999999997</v>
      </c>
      <c r="J76" s="79">
        <f>J77+J78+J79+J80+J81</f>
        <v>13101.5</v>
      </c>
      <c r="K76" s="28"/>
      <c r="L76" s="21"/>
      <c r="M76" s="21"/>
    </row>
    <row r="77" spans="2:13" s="56" customFormat="1" ht="18.75" hidden="1" customHeight="1" x14ac:dyDescent="0.2">
      <c r="B77" s="85" t="s">
        <v>85</v>
      </c>
      <c r="C77" s="80">
        <v>1822.13</v>
      </c>
      <c r="D77" s="80"/>
      <c r="E77" s="79">
        <f>C77</f>
        <v>1822.13</v>
      </c>
      <c r="F77" s="79"/>
      <c r="G77" s="79">
        <f>E77+1822.13+1907.08</f>
        <v>5551.34</v>
      </c>
      <c r="H77" s="84">
        <f>G77+3729.76</f>
        <v>9281.1</v>
      </c>
      <c r="I77" s="84">
        <f>H77+1907.65</f>
        <v>11188.75</v>
      </c>
      <c r="J77" s="79"/>
      <c r="K77" s="54"/>
      <c r="L77" s="55"/>
      <c r="M77" s="55"/>
    </row>
    <row r="78" spans="2:13" s="56" customFormat="1" ht="18.75" hidden="1" customHeight="1" x14ac:dyDescent="0.2">
      <c r="B78" s="85" t="s">
        <v>86</v>
      </c>
      <c r="C78" s="80">
        <v>294.41000000000003</v>
      </c>
      <c r="D78" s="80"/>
      <c r="E78" s="79">
        <f t="shared" ref="E78:E79" si="8">C78</f>
        <v>294.41000000000003</v>
      </c>
      <c r="F78" s="79"/>
      <c r="G78" s="79">
        <f>E78+266.56+322.26</f>
        <v>883.23</v>
      </c>
      <c r="H78" s="84">
        <f>G78+266.56+322.26</f>
        <v>1472.05</v>
      </c>
      <c r="I78" s="84">
        <f>H78+266.56+322.26</f>
        <v>2060.87</v>
      </c>
      <c r="J78" s="79">
        <f>I78+266.56+322.26+133.28+161.13</f>
        <v>2944.1</v>
      </c>
      <c r="K78" s="54"/>
      <c r="L78" s="55"/>
      <c r="M78" s="55"/>
    </row>
    <row r="79" spans="2:13" s="56" customFormat="1" ht="18.75" hidden="1" customHeight="1" x14ac:dyDescent="0.2">
      <c r="B79" s="85" t="s">
        <v>87</v>
      </c>
      <c r="C79" s="80">
        <v>125.97</v>
      </c>
      <c r="D79" s="80"/>
      <c r="E79" s="79">
        <f t="shared" si="8"/>
        <v>125.97</v>
      </c>
      <c r="F79" s="79"/>
      <c r="G79" s="79">
        <f>E79+251.93+42.21</f>
        <v>420.10999999999996</v>
      </c>
      <c r="H79" s="84">
        <f>G79+251.93+42.21</f>
        <v>714.25</v>
      </c>
      <c r="I79" s="84">
        <f>H79+251.93+42.21</f>
        <v>1008.3900000000001</v>
      </c>
      <c r="J79" s="79">
        <f>I79+251.93+125.97+42.21+42.21</f>
        <v>1470.7100000000003</v>
      </c>
      <c r="K79" s="54"/>
      <c r="L79" s="55"/>
      <c r="M79" s="55"/>
    </row>
    <row r="80" spans="2:13" ht="18.75" hidden="1" customHeight="1" x14ac:dyDescent="0.2">
      <c r="B80" s="85" t="s">
        <v>88</v>
      </c>
      <c r="C80" s="80">
        <v>0</v>
      </c>
      <c r="D80" s="80"/>
      <c r="E80" s="79">
        <v>0</v>
      </c>
      <c r="F80" s="79"/>
      <c r="G80" s="79">
        <v>58.56</v>
      </c>
      <c r="H80" s="84">
        <f>58.56+58.56</f>
        <v>117.12</v>
      </c>
      <c r="I80" s="84">
        <f>H80+58.56</f>
        <v>175.68</v>
      </c>
      <c r="J80" s="79">
        <f>I80+58.56+58.56</f>
        <v>292.8</v>
      </c>
      <c r="K80" s="8"/>
    </row>
    <row r="81" spans="1:13" s="41" customFormat="1" ht="18.75" hidden="1" customHeight="1" x14ac:dyDescent="0.2">
      <c r="B81" s="85" t="s">
        <v>89</v>
      </c>
      <c r="C81" s="80">
        <v>0</v>
      </c>
      <c r="D81" s="80"/>
      <c r="E81" s="79">
        <v>0</v>
      </c>
      <c r="F81" s="79"/>
      <c r="G81" s="79">
        <v>204.55</v>
      </c>
      <c r="H81" s="84">
        <f>G81+204.55+1098</f>
        <v>1507.1</v>
      </c>
      <c r="I81" s="84">
        <f>H81+204.55+1098</f>
        <v>2809.6499999999996</v>
      </c>
      <c r="J81" s="79">
        <f>I81+204.55+1098+1098+2928+255.69</f>
        <v>8393.89</v>
      </c>
      <c r="K81" s="39"/>
      <c r="L81" s="40"/>
      <c r="M81" s="40"/>
    </row>
    <row r="82" spans="1:13" s="23" customFormat="1" ht="34.15" hidden="1" customHeight="1" x14ac:dyDescent="0.25">
      <c r="B82" s="85" t="s">
        <v>90</v>
      </c>
      <c r="C82" s="80">
        <f>SUM(C83:C85)</f>
        <v>134302.52000000002</v>
      </c>
      <c r="D82" s="80"/>
      <c r="E82" s="79">
        <f>SUM(E83:E85)</f>
        <v>816334.93</v>
      </c>
      <c r="F82" s="79"/>
      <c r="G82" s="79">
        <f>SUM(G83:G85)</f>
        <v>1152455.6700000002</v>
      </c>
      <c r="H82" s="79">
        <f>SUM(H83:H85)</f>
        <v>3438202.017</v>
      </c>
      <c r="I82" s="79">
        <f>SUM(I83:I85)</f>
        <v>3764122.7635000004</v>
      </c>
      <c r="J82" s="79">
        <f>SUM(J83:J85)</f>
        <v>1934816.1635000003</v>
      </c>
      <c r="K82" s="22"/>
      <c r="L82" s="22"/>
      <c r="M82" s="22"/>
    </row>
    <row r="83" spans="1:13" ht="30.6" hidden="1" customHeight="1" x14ac:dyDescent="0.2">
      <c r="B83" s="77" t="s">
        <v>37</v>
      </c>
      <c r="C83" s="80">
        <f>81504.43+4664.24</f>
        <v>86168.67</v>
      </c>
      <c r="D83" s="80"/>
      <c r="E83" s="79">
        <f>86168.67+157132.81+320888.54-4664.24-5282.4-6542.08</f>
        <v>547701.30000000005</v>
      </c>
      <c r="F83" s="79" t="s">
        <v>5</v>
      </c>
      <c r="G83" s="79">
        <f>E83+16443.67+7385.5+15081.47+214429.54</f>
        <v>801041.4800000001</v>
      </c>
      <c r="H83" s="84">
        <f>H9+H11+H13+H18</f>
        <v>1707431.6670000001</v>
      </c>
      <c r="I83" s="84">
        <f>I9+I11+I14+I18</f>
        <v>1823699.9030000002</v>
      </c>
      <c r="J83" s="79">
        <f>J9+J11+J14+J18</f>
        <v>692547.74300000002</v>
      </c>
      <c r="K83" s="2" t="s">
        <v>38</v>
      </c>
    </row>
    <row r="84" spans="1:13" ht="30.6" hidden="1" customHeight="1" x14ac:dyDescent="0.2">
      <c r="B84" s="77" t="s">
        <v>39</v>
      </c>
      <c r="C84" s="80">
        <f>44922.66+3211.19</f>
        <v>48133.850000000006</v>
      </c>
      <c r="D84" s="80"/>
      <c r="E84" s="79">
        <f>48133.85+71990.74+92954.05-3211.19-4602.62-5995.9</f>
        <v>199268.93000000002</v>
      </c>
      <c r="F84" s="79" t="s">
        <v>6</v>
      </c>
      <c r="G84" s="79">
        <f>E84+14954.43+6852.12+1732.4-3+8164.23</f>
        <v>230969.11000000002</v>
      </c>
      <c r="H84" s="84">
        <f>H10+H15+H19</f>
        <v>1594747.0215</v>
      </c>
      <c r="I84" s="84">
        <f>I10+I15+I19</f>
        <v>1920724.59</v>
      </c>
      <c r="J84" s="84">
        <f>J10+J15+J19</f>
        <v>1222007.6600000001</v>
      </c>
      <c r="K84" s="8"/>
    </row>
    <row r="85" spans="1:13" s="32" customFormat="1" ht="21.75" hidden="1" customHeight="1" x14ac:dyDescent="0.2">
      <c r="B85" s="77" t="s">
        <v>40</v>
      </c>
      <c r="C85" s="80" t="s">
        <v>41</v>
      </c>
      <c r="D85" s="80"/>
      <c r="E85" s="79">
        <v>69364.7</v>
      </c>
      <c r="F85" s="79"/>
      <c r="G85" s="79">
        <f>E85+51080.38</f>
        <v>120445.07999999999</v>
      </c>
      <c r="H85" s="84">
        <f>H12+H17+H20</f>
        <v>136023.3285</v>
      </c>
      <c r="I85" s="84">
        <f>I12+I17+I20</f>
        <v>19698.270499999999</v>
      </c>
      <c r="J85" s="79">
        <f>J12+J17+J20</f>
        <v>20260.7605</v>
      </c>
      <c r="K85" s="31"/>
      <c r="L85" s="31"/>
      <c r="M85" s="31"/>
    </row>
    <row r="86" spans="1:13" s="35" customFormat="1" ht="18.75" hidden="1" customHeight="1" x14ac:dyDescent="0.2">
      <c r="B86" s="77" t="s">
        <v>45</v>
      </c>
      <c r="C86" s="80"/>
      <c r="D86" s="80"/>
      <c r="E86" s="79">
        <v>8000</v>
      </c>
      <c r="F86" s="79"/>
      <c r="G86" s="79">
        <v>8000</v>
      </c>
      <c r="H86" s="84">
        <f>G86+12000</f>
        <v>20000</v>
      </c>
      <c r="I86" s="84"/>
      <c r="J86" s="79"/>
      <c r="K86" s="34"/>
      <c r="L86" s="34"/>
      <c r="M86" s="34"/>
    </row>
    <row r="87" spans="1:13" s="35" customFormat="1" ht="18.75" hidden="1" customHeight="1" x14ac:dyDescent="0.2">
      <c r="B87" s="77"/>
      <c r="C87" s="80"/>
      <c r="D87" s="80"/>
      <c r="E87" s="79"/>
      <c r="F87" s="79"/>
      <c r="G87" s="79"/>
      <c r="H87" s="84"/>
      <c r="I87" s="84"/>
      <c r="J87" s="79"/>
      <c r="K87" s="34"/>
      <c r="L87" s="34"/>
      <c r="M87" s="34"/>
    </row>
    <row r="88" spans="1:13" s="35" customFormat="1" ht="18.75" hidden="1" customHeight="1" x14ac:dyDescent="0.2">
      <c r="B88" s="77"/>
      <c r="C88" s="80"/>
      <c r="D88" s="80"/>
      <c r="E88" s="79"/>
      <c r="F88" s="79"/>
      <c r="G88" s="79"/>
      <c r="H88" s="84"/>
      <c r="I88" s="84"/>
      <c r="J88" s="79"/>
      <c r="K88" s="34"/>
      <c r="L88" s="34"/>
      <c r="M88" s="34"/>
    </row>
    <row r="89" spans="1:13" s="35" customFormat="1" ht="18.75" hidden="1" customHeight="1" x14ac:dyDescent="0.2">
      <c r="B89" s="77"/>
      <c r="C89" s="80"/>
      <c r="D89" s="80"/>
      <c r="E89" s="79"/>
      <c r="F89" s="79"/>
      <c r="G89" s="79"/>
      <c r="H89" s="84"/>
      <c r="I89" s="84"/>
      <c r="J89" s="79"/>
      <c r="K89" s="34"/>
      <c r="L89" s="34"/>
      <c r="M89" s="34"/>
    </row>
    <row r="90" spans="1:13" s="35" customFormat="1" ht="18.75" hidden="1" customHeight="1" x14ac:dyDescent="0.2">
      <c r="B90" s="77"/>
      <c r="C90" s="80"/>
      <c r="D90" s="80"/>
      <c r="E90" s="79"/>
      <c r="F90" s="79"/>
      <c r="G90" s="79"/>
      <c r="H90" s="84"/>
      <c r="I90" s="84"/>
      <c r="J90" s="79"/>
      <c r="K90" s="34"/>
      <c r="L90" s="34"/>
      <c r="M90" s="34"/>
    </row>
    <row r="91" spans="1:13" s="35" customFormat="1" ht="18.75" hidden="1" customHeight="1" x14ac:dyDescent="0.2">
      <c r="B91" s="77"/>
      <c r="C91" s="80"/>
      <c r="D91" s="80"/>
      <c r="E91" s="79"/>
      <c r="F91" s="79"/>
      <c r="G91" s="79"/>
      <c r="H91" s="84"/>
      <c r="I91" s="84"/>
      <c r="J91" s="79"/>
      <c r="K91" s="34"/>
      <c r="L91" s="34"/>
      <c r="M91" s="34"/>
    </row>
    <row r="92" spans="1:13" s="35" customFormat="1" ht="18.75" hidden="1" customHeight="1" x14ac:dyDescent="0.2">
      <c r="B92" s="77"/>
      <c r="C92" s="80"/>
      <c r="D92" s="80"/>
      <c r="E92" s="79"/>
      <c r="F92" s="79"/>
      <c r="G92" s="79"/>
      <c r="H92" s="84"/>
      <c r="I92" s="84"/>
      <c r="J92" s="79"/>
      <c r="K92" s="34"/>
      <c r="L92" s="34"/>
      <c r="M92" s="34"/>
    </row>
    <row r="93" spans="1:13" s="35" customFormat="1" ht="18.75" hidden="1" customHeight="1" x14ac:dyDescent="0.2">
      <c r="B93" s="77"/>
      <c r="C93" s="80"/>
      <c r="D93" s="80"/>
      <c r="E93" s="79"/>
      <c r="F93" s="79"/>
      <c r="G93" s="79"/>
      <c r="H93" s="84"/>
      <c r="I93" s="84"/>
      <c r="J93" s="79"/>
      <c r="K93" s="34"/>
      <c r="L93" s="34"/>
      <c r="M93" s="34"/>
    </row>
    <row r="94" spans="1:13" s="35" customFormat="1" ht="18.75" hidden="1" customHeight="1" x14ac:dyDescent="0.2">
      <c r="B94" s="77"/>
      <c r="C94" s="80"/>
      <c r="D94" s="80"/>
      <c r="E94" s="79"/>
      <c r="F94" s="79"/>
      <c r="G94" s="79"/>
      <c r="H94" s="84"/>
      <c r="I94" s="84"/>
      <c r="J94" s="79"/>
      <c r="K94" s="34"/>
      <c r="L94" s="34"/>
      <c r="M94" s="34"/>
    </row>
    <row r="95" spans="1:13" ht="31.5" hidden="1" customHeight="1" x14ac:dyDescent="0.2">
      <c r="D95" s="80"/>
      <c r="E95" s="79"/>
      <c r="F95" s="79"/>
      <c r="G95" s="79"/>
      <c r="H95" s="84"/>
      <c r="I95" s="84"/>
      <c r="J95" s="79"/>
    </row>
    <row r="96" spans="1:13" s="4" customFormat="1" ht="35.1" customHeight="1" x14ac:dyDescent="0.2">
      <c r="A96" s="96"/>
      <c r="B96" s="87" t="s">
        <v>91</v>
      </c>
      <c r="C96" s="88" t="s">
        <v>92</v>
      </c>
      <c r="D96" s="89"/>
      <c r="E96" s="79"/>
      <c r="F96" s="83"/>
      <c r="G96" s="83"/>
      <c r="H96" s="84"/>
      <c r="I96" s="84"/>
      <c r="J96" s="79"/>
      <c r="K96" s="3"/>
      <c r="L96" s="3"/>
      <c r="M96" s="3"/>
    </row>
    <row r="97" spans="1:13" s="4" customFormat="1" ht="24" customHeight="1" x14ac:dyDescent="0.2">
      <c r="B97" s="77"/>
      <c r="C97" s="80"/>
      <c r="D97" s="77"/>
      <c r="E97" s="80"/>
      <c r="F97" s="77"/>
      <c r="G97" s="77"/>
      <c r="H97" s="81"/>
      <c r="I97" s="81"/>
      <c r="J97" s="80"/>
      <c r="K97" s="3"/>
      <c r="L97" s="3"/>
      <c r="M97" s="3"/>
    </row>
    <row r="98" spans="1:13" s="4" customFormat="1" ht="24" customHeight="1" x14ac:dyDescent="0.2">
      <c r="A98" s="97" t="s">
        <v>93</v>
      </c>
      <c r="B98" s="90" t="s">
        <v>94</v>
      </c>
      <c r="C98" s="91" t="s">
        <v>95</v>
      </c>
      <c r="D98" s="92"/>
      <c r="E98" s="93"/>
      <c r="F98" s="93"/>
      <c r="G98" s="93"/>
      <c r="H98" s="93"/>
      <c r="I98" s="93"/>
      <c r="J98" s="93"/>
      <c r="K98" s="3"/>
      <c r="L98" s="3"/>
      <c r="M98" s="3"/>
    </row>
    <row r="99" spans="1:13" s="26" customFormat="1" ht="24" customHeight="1" x14ac:dyDescent="0.2">
      <c r="A99" s="97" t="s">
        <v>96</v>
      </c>
      <c r="B99" s="99" t="s">
        <v>97</v>
      </c>
      <c r="C99" s="100" t="s">
        <v>98</v>
      </c>
      <c r="D99" s="99"/>
      <c r="E99" s="101">
        <f>E100+E101+E104+E107</f>
        <v>233624.89999999997</v>
      </c>
      <c r="F99" s="101"/>
      <c r="G99" s="101">
        <f>G100+G101+G104+G107</f>
        <v>478265.04</v>
      </c>
      <c r="H99" s="101">
        <f>H100+H101+H104+H107</f>
        <v>435180.26</v>
      </c>
      <c r="I99" s="101">
        <f>I100+I101+I104+I107</f>
        <v>413894.57</v>
      </c>
      <c r="J99" s="101">
        <f>J100+J101+J104+J107</f>
        <v>459327.13</v>
      </c>
    </row>
    <row r="100" spans="1:13" s="4" customFormat="1" ht="24" customHeight="1" x14ac:dyDescent="0.2">
      <c r="A100" s="97"/>
      <c r="B100" s="102" t="s">
        <v>273</v>
      </c>
      <c r="C100" s="103" t="s">
        <v>274</v>
      </c>
      <c r="D100" s="104"/>
      <c r="E100" s="105">
        <v>0</v>
      </c>
      <c r="F100" s="105"/>
      <c r="G100" s="105">
        <f>60000+160000</f>
        <v>220000</v>
      </c>
      <c r="H100" s="105">
        <f>160000</f>
        <v>160000</v>
      </c>
      <c r="I100" s="105">
        <v>160000</v>
      </c>
      <c r="J100" s="105">
        <v>160000</v>
      </c>
      <c r="K100" s="3"/>
      <c r="L100" s="3"/>
      <c r="M100" s="3"/>
    </row>
    <row r="101" spans="1:13" s="14" customFormat="1" ht="24" customHeight="1" x14ac:dyDescent="0.2">
      <c r="A101" s="97"/>
      <c r="B101" s="102" t="s">
        <v>99</v>
      </c>
      <c r="C101" s="103" t="s">
        <v>100</v>
      </c>
      <c r="D101" s="104"/>
      <c r="E101" s="105">
        <f>SUM(E102:E103)</f>
        <v>30584.84</v>
      </c>
      <c r="F101" s="105"/>
      <c r="G101" s="105">
        <f>SUM(G102:G103)</f>
        <v>33601.21</v>
      </c>
      <c r="H101" s="105">
        <f>SUM(H102:H103)</f>
        <v>35893.08</v>
      </c>
      <c r="I101" s="105">
        <f>SUM(I102:I103)</f>
        <v>33116.68</v>
      </c>
      <c r="J101" s="105">
        <f>SUM(J102:J103)</f>
        <v>39042.67</v>
      </c>
      <c r="K101" s="73"/>
    </row>
    <row r="102" spans="1:13" s="6" customFormat="1" ht="24" customHeight="1" x14ac:dyDescent="0.2">
      <c r="A102" s="97"/>
      <c r="B102" s="102" t="s">
        <v>101</v>
      </c>
      <c r="C102" s="103" t="s">
        <v>102</v>
      </c>
      <c r="D102" s="104"/>
      <c r="E102" s="105">
        <f>12184.85+11157.17</f>
        <v>23342.02</v>
      </c>
      <c r="F102" s="106" t="s">
        <v>103</v>
      </c>
      <c r="G102" s="105">
        <f>25464</f>
        <v>25464</v>
      </c>
      <c r="H102" s="105">
        <v>25556.46</v>
      </c>
      <c r="I102" s="105">
        <v>31192.26</v>
      </c>
      <c r="J102" s="105">
        <v>37118.25</v>
      </c>
      <c r="K102" s="131"/>
      <c r="L102" s="11"/>
      <c r="M102" s="5"/>
    </row>
    <row r="103" spans="1:13" s="6" customFormat="1" ht="24" customHeight="1" x14ac:dyDescent="0.2">
      <c r="A103" s="97"/>
      <c r="B103" s="102" t="s">
        <v>104</v>
      </c>
      <c r="C103" s="103" t="s">
        <v>105</v>
      </c>
      <c r="D103" s="104"/>
      <c r="E103" s="105">
        <v>7242.82</v>
      </c>
      <c r="F103" s="106" t="s">
        <v>103</v>
      </c>
      <c r="G103" s="105">
        <v>8137.21</v>
      </c>
      <c r="H103" s="105">
        <v>10336.620000000001</v>
      </c>
      <c r="I103" s="105">
        <v>1924.42</v>
      </c>
      <c r="J103" s="105">
        <v>1924.42</v>
      </c>
      <c r="K103" s="5"/>
      <c r="L103" s="5"/>
      <c r="M103" s="5"/>
    </row>
    <row r="104" spans="1:13" s="25" customFormat="1" ht="25.5" x14ac:dyDescent="0.2">
      <c r="A104" s="97"/>
      <c r="B104" s="102" t="s">
        <v>106</v>
      </c>
      <c r="C104" s="103" t="s">
        <v>107</v>
      </c>
      <c r="D104" s="104"/>
      <c r="E104" s="105">
        <f>SUM(E105:E106)</f>
        <v>203015.05999999997</v>
      </c>
      <c r="F104" s="105"/>
      <c r="G104" s="105">
        <f>SUM(G105:G106)</f>
        <v>224638.83</v>
      </c>
      <c r="H104" s="105">
        <f>SUM(H105:H106)</f>
        <v>239287.18</v>
      </c>
      <c r="I104" s="105">
        <f>SUM(I105:I106)</f>
        <v>220777.89</v>
      </c>
      <c r="J104" s="105">
        <f>SUM(J105:J106)</f>
        <v>260284.46</v>
      </c>
    </row>
    <row r="105" spans="1:13" s="6" customFormat="1" ht="24" customHeight="1" x14ac:dyDescent="0.2">
      <c r="A105" s="97"/>
      <c r="B105" s="102" t="s">
        <v>108</v>
      </c>
      <c r="C105" s="103" t="s">
        <v>109</v>
      </c>
      <c r="D105" s="104"/>
      <c r="E105" s="105">
        <f>80854.37+74079.23</f>
        <v>154933.59999999998</v>
      </c>
      <c r="F105" s="105"/>
      <c r="G105" s="105">
        <f>88613.81+81146.17+630.78</f>
        <v>170390.75999999998</v>
      </c>
      <c r="H105" s="105">
        <v>170376.39</v>
      </c>
      <c r="I105" s="105">
        <v>207948.42</v>
      </c>
      <c r="J105" s="105">
        <v>247454.99</v>
      </c>
      <c r="K105" s="131"/>
      <c r="L105" s="5"/>
      <c r="M105" s="5"/>
    </row>
    <row r="106" spans="1:13" s="6" customFormat="1" ht="24" customHeight="1" x14ac:dyDescent="0.2">
      <c r="A106" s="97"/>
      <c r="B106" s="102" t="s">
        <v>110</v>
      </c>
      <c r="C106" s="103" t="s">
        <v>111</v>
      </c>
      <c r="D106" s="104"/>
      <c r="E106" s="105">
        <f>48081.46</f>
        <v>48081.46</v>
      </c>
      <c r="F106" s="105"/>
      <c r="G106" s="105">
        <v>54248.07</v>
      </c>
      <c r="H106" s="105">
        <v>68910.789999999994</v>
      </c>
      <c r="I106" s="105">
        <v>12829.47</v>
      </c>
      <c r="J106" s="105">
        <v>12829.47</v>
      </c>
      <c r="K106" s="5"/>
      <c r="L106" s="5"/>
      <c r="M106" s="5"/>
    </row>
    <row r="107" spans="1:13" s="27" customFormat="1" ht="24" customHeight="1" x14ac:dyDescent="0.2">
      <c r="A107" s="97" t="s">
        <v>112</v>
      </c>
      <c r="B107" s="116" t="s">
        <v>113</v>
      </c>
      <c r="C107" s="117" t="s">
        <v>114</v>
      </c>
      <c r="D107" s="116"/>
      <c r="E107" s="118">
        <f>E108</f>
        <v>25</v>
      </c>
      <c r="F107" s="118"/>
      <c r="G107" s="118">
        <f>G108</f>
        <v>25</v>
      </c>
      <c r="H107" s="118"/>
      <c r="I107" s="118"/>
      <c r="J107" s="118"/>
    </row>
    <row r="108" spans="1:13" s="6" customFormat="1" ht="24" customHeight="1" x14ac:dyDescent="0.2">
      <c r="A108" s="97"/>
      <c r="B108" s="108" t="s">
        <v>115</v>
      </c>
      <c r="C108" s="103" t="s">
        <v>116</v>
      </c>
      <c r="D108" s="109"/>
      <c r="E108" s="105">
        <v>25</v>
      </c>
      <c r="F108" s="105"/>
      <c r="G108" s="105">
        <v>25</v>
      </c>
      <c r="H108" s="110"/>
      <c r="I108" s="110"/>
      <c r="J108" s="110"/>
      <c r="K108" s="5"/>
      <c r="L108" s="5"/>
      <c r="M108" s="5"/>
    </row>
    <row r="109" spans="1:13" s="6" customFormat="1" ht="24" customHeight="1" x14ac:dyDescent="0.2">
      <c r="A109" s="97"/>
      <c r="B109" s="111" t="s">
        <v>117</v>
      </c>
      <c r="C109" s="107" t="s">
        <v>118</v>
      </c>
      <c r="D109" s="112"/>
      <c r="E109" s="113"/>
      <c r="F109" s="113"/>
      <c r="G109" s="113"/>
      <c r="H109" s="113"/>
      <c r="I109" s="113"/>
      <c r="J109" s="113"/>
      <c r="K109" s="5"/>
      <c r="L109" s="5"/>
      <c r="M109" s="5"/>
    </row>
    <row r="110" spans="1:13" s="4" customFormat="1" ht="24" customHeight="1" x14ac:dyDescent="0.2">
      <c r="A110" s="97"/>
      <c r="B110" s="94"/>
      <c r="C110" s="80"/>
      <c r="D110" s="77"/>
      <c r="E110" s="81"/>
      <c r="F110" s="81"/>
      <c r="G110" s="81"/>
      <c r="H110" s="81"/>
      <c r="I110" s="81"/>
      <c r="J110" s="81"/>
      <c r="K110" s="10"/>
      <c r="L110" s="10"/>
      <c r="M110" s="3"/>
    </row>
    <row r="111" spans="1:13" s="20" customFormat="1" ht="24" customHeight="1" x14ac:dyDescent="0.2">
      <c r="A111" s="97" t="s">
        <v>119</v>
      </c>
      <c r="B111" s="90" t="s">
        <v>120</v>
      </c>
      <c r="C111" s="91" t="s">
        <v>121</v>
      </c>
      <c r="D111" s="90"/>
      <c r="E111" s="95">
        <f>E112+E114+E145+E150+E164+E160+E167</f>
        <v>209379.83</v>
      </c>
      <c r="F111" s="95"/>
      <c r="G111" s="95">
        <f>G112+G114+G145+G150+G164+G160+G167</f>
        <v>300967.37</v>
      </c>
      <c r="H111" s="95">
        <f>H112+H114+H145+H150+H164+H160+H167</f>
        <v>580223.90999999992</v>
      </c>
      <c r="I111" s="95">
        <f>I112+I114+I145+I150+I164+I160+I167</f>
        <v>399942.62</v>
      </c>
      <c r="J111" s="95">
        <f>J112+J114+J145+J150+J164+J160+J167</f>
        <v>443615.68</v>
      </c>
      <c r="K111" s="19"/>
      <c r="L111" s="19"/>
    </row>
    <row r="112" spans="1:13" s="4" customFormat="1" ht="24" customHeight="1" x14ac:dyDescent="0.2">
      <c r="A112" s="97" t="s">
        <v>122</v>
      </c>
      <c r="B112" s="99" t="s">
        <v>123</v>
      </c>
      <c r="C112" s="100" t="s">
        <v>124</v>
      </c>
      <c r="D112" s="99"/>
      <c r="E112" s="101">
        <f>E113</f>
        <v>1147.96</v>
      </c>
      <c r="F112" s="101"/>
      <c r="G112" s="101">
        <f>G113</f>
        <v>2000</v>
      </c>
      <c r="H112" s="101">
        <f>H113</f>
        <v>2000</v>
      </c>
      <c r="I112" s="101">
        <f>I113</f>
        <v>2000</v>
      </c>
      <c r="J112" s="101">
        <f>J113</f>
        <v>2000</v>
      </c>
      <c r="K112" s="3"/>
      <c r="L112" s="3"/>
      <c r="M112" s="3"/>
    </row>
    <row r="113" spans="1:13" s="6" customFormat="1" ht="24" customHeight="1" x14ac:dyDescent="0.2">
      <c r="A113" s="97"/>
      <c r="B113" s="102" t="s">
        <v>125</v>
      </c>
      <c r="C113" s="103" t="s">
        <v>126</v>
      </c>
      <c r="D113" s="104"/>
      <c r="E113" s="105">
        <v>1147.96</v>
      </c>
      <c r="F113" s="105" t="s">
        <v>127</v>
      </c>
      <c r="G113" s="105">
        <v>2000</v>
      </c>
      <c r="H113" s="105">
        <v>2000</v>
      </c>
      <c r="I113" s="105">
        <v>2000</v>
      </c>
      <c r="J113" s="105">
        <v>2000</v>
      </c>
      <c r="K113" s="5"/>
      <c r="L113" s="5"/>
      <c r="M113" s="5"/>
    </row>
    <row r="114" spans="1:13" s="15" customFormat="1" ht="24" customHeight="1" x14ac:dyDescent="0.2">
      <c r="A114" s="97" t="s">
        <v>128</v>
      </c>
      <c r="B114" s="116" t="s">
        <v>129</v>
      </c>
      <c r="C114" s="117" t="s">
        <v>130</v>
      </c>
      <c r="D114" s="116"/>
      <c r="E114" s="118">
        <f>E115+E120+E122+E134+E136+E138</f>
        <v>35251.15</v>
      </c>
      <c r="F114" s="118"/>
      <c r="G114" s="118">
        <f>G115+G120+G122+G134+G136+G138</f>
        <v>72204.329999999987</v>
      </c>
      <c r="H114" s="118">
        <f>H115+H120+H122+H134+H136+H138</f>
        <v>323180</v>
      </c>
      <c r="I114" s="118">
        <f>I115+I120+I122+I134+I136+I138</f>
        <v>162417</v>
      </c>
      <c r="J114" s="118">
        <f>J115+J120+J122+J134+J136+J138</f>
        <v>171050</v>
      </c>
      <c r="K114" s="68"/>
      <c r="L114" s="68"/>
      <c r="M114" s="68"/>
    </row>
    <row r="115" spans="1:13" s="14" customFormat="1" ht="24" customHeight="1" x14ac:dyDescent="0.2">
      <c r="A115" s="97" t="s">
        <v>131</v>
      </c>
      <c r="B115" s="109" t="s">
        <v>132</v>
      </c>
      <c r="C115" s="115" t="s">
        <v>133</v>
      </c>
      <c r="D115" s="109"/>
      <c r="E115" s="110">
        <f>E116+E117+E118+E119</f>
        <v>8625.32</v>
      </c>
      <c r="F115" s="110"/>
      <c r="G115" s="110">
        <f>G116+G117+G118+G119</f>
        <v>10271.560000000001</v>
      </c>
      <c r="H115" s="110">
        <f>H116+H117+H118+H119</f>
        <v>11100</v>
      </c>
      <c r="I115" s="110">
        <f>I116+I117+I118+I119</f>
        <v>11100</v>
      </c>
      <c r="J115" s="110">
        <f>J116+J117+J118+J119</f>
        <v>11100</v>
      </c>
    </row>
    <row r="116" spans="1:13" s="6" customFormat="1" ht="24" customHeight="1" x14ac:dyDescent="0.2">
      <c r="A116" s="97"/>
      <c r="B116" s="102" t="s">
        <v>134</v>
      </c>
      <c r="C116" s="103" t="s">
        <v>135</v>
      </c>
      <c r="D116" s="109"/>
      <c r="E116" s="105">
        <v>502.66</v>
      </c>
      <c r="F116" s="105" t="s">
        <v>136</v>
      </c>
      <c r="G116" s="105">
        <f>E116+(2.44+73.2)*2</f>
        <v>653.94000000000005</v>
      </c>
      <c r="H116" s="105">
        <v>1300</v>
      </c>
      <c r="I116" s="105">
        <v>1300</v>
      </c>
      <c r="J116" s="105">
        <v>1300</v>
      </c>
      <c r="K116" s="5"/>
      <c r="L116" s="5"/>
      <c r="M116" s="5"/>
    </row>
    <row r="117" spans="1:13" s="6" customFormat="1" ht="24" customHeight="1" x14ac:dyDescent="0.2">
      <c r="A117" s="97"/>
      <c r="B117" s="102" t="s">
        <v>137</v>
      </c>
      <c r="C117" s="103" t="s">
        <v>138</v>
      </c>
      <c r="D117" s="109"/>
      <c r="E117" s="105">
        <v>1430.24</v>
      </c>
      <c r="F117" s="105" t="s">
        <v>139</v>
      </c>
      <c r="G117" s="105">
        <f>1430.24+486.78</f>
        <v>1917.02</v>
      </c>
      <c r="H117" s="105">
        <v>2100</v>
      </c>
      <c r="I117" s="105">
        <v>2100</v>
      </c>
      <c r="J117" s="105">
        <v>2100</v>
      </c>
      <c r="K117" s="5"/>
      <c r="L117" s="5"/>
      <c r="M117" s="5"/>
    </row>
    <row r="118" spans="1:13" s="6" customFormat="1" ht="24" customHeight="1" x14ac:dyDescent="0.2">
      <c r="A118" s="97"/>
      <c r="B118" s="102" t="s">
        <v>140</v>
      </c>
      <c r="C118" s="103" t="s">
        <v>141</v>
      </c>
      <c r="D118" s="109"/>
      <c r="E118" s="105">
        <v>2750.5</v>
      </c>
      <c r="F118" s="105" t="s">
        <v>142</v>
      </c>
      <c r="G118" s="105">
        <f>275.05*12</f>
        <v>3300.6000000000004</v>
      </c>
      <c r="H118" s="105">
        <v>3300</v>
      </c>
      <c r="I118" s="105">
        <v>3300</v>
      </c>
      <c r="J118" s="105">
        <v>3300</v>
      </c>
      <c r="K118" s="5"/>
      <c r="L118" s="5"/>
      <c r="M118" s="5"/>
    </row>
    <row r="119" spans="1:13" s="6" customFormat="1" ht="25.5" x14ac:dyDescent="0.2">
      <c r="A119" s="97"/>
      <c r="B119" s="102" t="s">
        <v>143</v>
      </c>
      <c r="C119" s="103" t="s">
        <v>144</v>
      </c>
      <c r="D119" s="109"/>
      <c r="E119" s="105">
        <v>3941.92</v>
      </c>
      <c r="F119" s="105" t="s">
        <v>145</v>
      </c>
      <c r="G119" s="105">
        <v>4400</v>
      </c>
      <c r="H119" s="105">
        <v>4400</v>
      </c>
      <c r="I119" s="105">
        <v>4400</v>
      </c>
      <c r="J119" s="105">
        <v>4400</v>
      </c>
      <c r="K119" s="5"/>
      <c r="L119" s="5"/>
      <c r="M119" s="5"/>
    </row>
    <row r="120" spans="1:13" s="12" customFormat="1" ht="24" customHeight="1" x14ac:dyDescent="0.2">
      <c r="A120" s="97" t="s">
        <v>146</v>
      </c>
      <c r="B120" s="109" t="s">
        <v>147</v>
      </c>
      <c r="C120" s="115" t="s">
        <v>148</v>
      </c>
      <c r="D120" s="109"/>
      <c r="E120" s="105">
        <f>E121</f>
        <v>54.65</v>
      </c>
      <c r="F120" s="105"/>
      <c r="G120" s="105">
        <f>E120</f>
        <v>54.65</v>
      </c>
      <c r="H120" s="105">
        <f>H121</f>
        <v>100</v>
      </c>
      <c r="I120" s="105">
        <f>I121</f>
        <v>100</v>
      </c>
      <c r="J120" s="105">
        <f>J121</f>
        <v>100</v>
      </c>
    </row>
    <row r="121" spans="1:13" s="6" customFormat="1" ht="24" customHeight="1" x14ac:dyDescent="0.2">
      <c r="A121" s="97"/>
      <c r="B121" s="102" t="s">
        <v>149</v>
      </c>
      <c r="C121" s="103" t="s">
        <v>150</v>
      </c>
      <c r="D121" s="109"/>
      <c r="E121" s="105">
        <v>54.65</v>
      </c>
      <c r="F121" s="105" t="s">
        <v>151</v>
      </c>
      <c r="G121" s="105">
        <v>54.65</v>
      </c>
      <c r="H121" s="105">
        <v>100</v>
      </c>
      <c r="I121" s="105">
        <v>100</v>
      </c>
      <c r="J121" s="105">
        <v>100</v>
      </c>
      <c r="K121" s="5"/>
      <c r="L121" s="5"/>
      <c r="M121" s="5"/>
    </row>
    <row r="122" spans="1:13" s="4" customFormat="1" ht="24" customHeight="1" x14ac:dyDescent="0.2">
      <c r="A122" s="97" t="s">
        <v>152</v>
      </c>
      <c r="B122" s="109" t="s">
        <v>153</v>
      </c>
      <c r="C122" s="115" t="s">
        <v>154</v>
      </c>
      <c r="D122" s="109"/>
      <c r="E122" s="110">
        <f>E123+E124+E125+E126+E127+E129+E130+E132+E128+E131+E133</f>
        <v>21474.97</v>
      </c>
      <c r="F122" s="110"/>
      <c r="G122" s="110">
        <f>G123+G124+G125+G126+G127+G129+G130+G132+G128+G131+G133</f>
        <v>50360.119999999995</v>
      </c>
      <c r="H122" s="110">
        <f>H123+H124+H125+H126+H127+H129+H130+H132+H128+H131+H133</f>
        <v>289930</v>
      </c>
      <c r="I122" s="110">
        <f>I123+I124+I125+I126+I127+I129+I130+I132+I128+I131+I133</f>
        <v>129167</v>
      </c>
      <c r="J122" s="110">
        <f>J123+J124+J125+J126+J127+J129+J130+J132+J128+J131+J133</f>
        <v>137800</v>
      </c>
      <c r="K122" s="3"/>
      <c r="L122" s="3"/>
      <c r="M122" s="3"/>
    </row>
    <row r="123" spans="1:13" s="6" customFormat="1" ht="24" customHeight="1" x14ac:dyDescent="0.2">
      <c r="A123" s="97"/>
      <c r="B123" s="102" t="s">
        <v>155</v>
      </c>
      <c r="C123" s="103" t="s">
        <v>156</v>
      </c>
      <c r="D123" s="109"/>
      <c r="E123" s="105">
        <v>1335.01</v>
      </c>
      <c r="F123" s="105" t="s">
        <v>157</v>
      </c>
      <c r="G123" s="105">
        <v>2800</v>
      </c>
      <c r="H123" s="105">
        <v>2800</v>
      </c>
      <c r="I123" s="105">
        <v>2800</v>
      </c>
      <c r="J123" s="105">
        <v>2800</v>
      </c>
      <c r="K123" s="5"/>
      <c r="L123" s="5"/>
      <c r="M123" s="5"/>
    </row>
    <row r="124" spans="1:13" s="6" customFormat="1" ht="24" customHeight="1" x14ac:dyDescent="0.2">
      <c r="A124" s="97"/>
      <c r="B124" s="102" t="s">
        <v>158</v>
      </c>
      <c r="C124" s="103" t="s">
        <v>159</v>
      </c>
      <c r="D124" s="109"/>
      <c r="E124" s="105"/>
      <c r="F124" s="105"/>
      <c r="G124" s="105">
        <v>4000</v>
      </c>
      <c r="H124" s="105">
        <v>4000</v>
      </c>
      <c r="I124" s="105">
        <v>4000</v>
      </c>
      <c r="J124" s="105">
        <v>4000</v>
      </c>
      <c r="K124" s="72"/>
      <c r="L124" s="5"/>
      <c r="M124" s="5"/>
    </row>
    <row r="125" spans="1:13" s="6" customFormat="1" ht="24" customHeight="1" x14ac:dyDescent="0.2">
      <c r="A125" s="97"/>
      <c r="B125" s="102" t="s">
        <v>160</v>
      </c>
      <c r="C125" s="103" t="s">
        <v>161</v>
      </c>
      <c r="D125" s="109"/>
      <c r="E125" s="105"/>
      <c r="F125" s="105"/>
      <c r="G125" s="105"/>
      <c r="H125" s="105">
        <v>5000</v>
      </c>
      <c r="I125" s="105">
        <v>5000</v>
      </c>
      <c r="J125" s="105">
        <v>5000</v>
      </c>
      <c r="K125" s="5"/>
      <c r="L125" s="5"/>
      <c r="M125" s="5"/>
    </row>
    <row r="126" spans="1:13" s="6" customFormat="1" ht="24" customHeight="1" x14ac:dyDescent="0.2">
      <c r="A126" s="97"/>
      <c r="B126" s="102" t="s">
        <v>162</v>
      </c>
      <c r="C126" s="103" t="s">
        <v>163</v>
      </c>
      <c r="D126" s="109"/>
      <c r="E126" s="105">
        <v>719.8</v>
      </c>
      <c r="F126" s="105" t="s">
        <v>164</v>
      </c>
      <c r="G126" s="105">
        <v>719.8</v>
      </c>
      <c r="H126" s="105">
        <v>0</v>
      </c>
      <c r="I126" s="105">
        <v>0</v>
      </c>
      <c r="J126" s="105">
        <v>0</v>
      </c>
      <c r="K126" s="5"/>
      <c r="L126" s="5"/>
      <c r="M126" s="5"/>
    </row>
    <row r="127" spans="1:13" s="6" customFormat="1" ht="25.5" x14ac:dyDescent="0.2">
      <c r="A127" s="97"/>
      <c r="B127" s="102" t="s">
        <v>165</v>
      </c>
      <c r="C127" s="103" t="s">
        <v>166</v>
      </c>
      <c r="D127" s="109"/>
      <c r="E127" s="105"/>
      <c r="F127" s="105"/>
      <c r="G127" s="105"/>
      <c r="H127" s="105">
        <v>2000</v>
      </c>
      <c r="I127" s="105">
        <v>2000</v>
      </c>
      <c r="J127" s="105">
        <v>2000</v>
      </c>
      <c r="K127" s="5"/>
      <c r="L127" s="5"/>
      <c r="M127" s="5"/>
    </row>
    <row r="128" spans="1:13" s="6" customFormat="1" ht="24" customHeight="1" x14ac:dyDescent="0.2">
      <c r="A128" s="97"/>
      <c r="B128" s="102" t="s">
        <v>167</v>
      </c>
      <c r="C128" s="103" t="s">
        <v>168</v>
      </c>
      <c r="D128" s="109"/>
      <c r="E128" s="105">
        <v>19420.16</v>
      </c>
      <c r="F128" s="105"/>
      <c r="G128" s="105">
        <f>E128*2</f>
        <v>38840.32</v>
      </c>
      <c r="H128" s="105">
        <v>60000</v>
      </c>
      <c r="I128" s="105">
        <v>60000</v>
      </c>
      <c r="J128" s="105">
        <v>60000</v>
      </c>
      <c r="K128" s="5"/>
      <c r="L128" s="5"/>
      <c r="M128" s="5"/>
    </row>
    <row r="129" spans="1:13" s="6" customFormat="1" ht="25.5" x14ac:dyDescent="0.2">
      <c r="A129" s="97"/>
      <c r="B129" s="102" t="s">
        <v>169</v>
      </c>
      <c r="C129" s="103" t="s">
        <v>170</v>
      </c>
      <c r="D129" s="109"/>
      <c r="E129" s="105"/>
      <c r="F129" s="105"/>
      <c r="G129" s="105"/>
      <c r="H129" s="105">
        <f>1000+1000</f>
        <v>2000</v>
      </c>
      <c r="I129" s="105">
        <v>2000</v>
      </c>
      <c r="J129" s="105">
        <v>2000</v>
      </c>
      <c r="K129" s="5"/>
      <c r="L129" s="5"/>
      <c r="M129" s="5"/>
    </row>
    <row r="130" spans="1:13" s="6" customFormat="1" ht="24" customHeight="1" x14ac:dyDescent="0.2">
      <c r="A130" s="97"/>
      <c r="B130" s="119" t="s">
        <v>171</v>
      </c>
      <c r="C130" s="103" t="s">
        <v>172</v>
      </c>
      <c r="D130" s="109"/>
      <c r="E130" s="105"/>
      <c r="F130" s="105"/>
      <c r="G130" s="105"/>
      <c r="H130" s="105">
        <v>2000</v>
      </c>
      <c r="I130" s="105">
        <v>2000</v>
      </c>
      <c r="J130" s="105">
        <v>2000</v>
      </c>
      <c r="K130" s="5"/>
      <c r="L130" s="5"/>
      <c r="M130" s="5"/>
    </row>
    <row r="131" spans="1:13" s="6" customFormat="1" ht="25.5" x14ac:dyDescent="0.2">
      <c r="A131" s="97"/>
      <c r="B131" s="119" t="s">
        <v>173</v>
      </c>
      <c r="C131" s="103" t="s">
        <v>174</v>
      </c>
      <c r="D131" s="109"/>
      <c r="E131" s="105"/>
      <c r="F131" s="105"/>
      <c r="G131" s="105">
        <v>0</v>
      </c>
      <c r="H131" s="105">
        <f>174130+28000</f>
        <v>202130</v>
      </c>
      <c r="I131" s="105">
        <v>41367</v>
      </c>
      <c r="J131" s="105">
        <f>45000+5000</f>
        <v>50000</v>
      </c>
      <c r="K131" s="5"/>
      <c r="L131" s="5"/>
      <c r="M131" s="5"/>
    </row>
    <row r="132" spans="1:13" s="6" customFormat="1" ht="24" customHeight="1" x14ac:dyDescent="0.2">
      <c r="A132" s="97"/>
      <c r="B132" s="119" t="s">
        <v>175</v>
      </c>
      <c r="C132" s="103" t="s">
        <v>176</v>
      </c>
      <c r="D132" s="109"/>
      <c r="E132" s="105"/>
      <c r="F132" s="105"/>
      <c r="G132" s="105">
        <v>1000</v>
      </c>
      <c r="H132" s="105">
        <v>10000</v>
      </c>
      <c r="I132" s="105">
        <v>10000</v>
      </c>
      <c r="J132" s="105">
        <v>10000</v>
      </c>
      <c r="K132" s="5"/>
      <c r="L132" s="5"/>
      <c r="M132" s="5"/>
    </row>
    <row r="133" spans="1:13" s="6" customFormat="1" ht="24" customHeight="1" x14ac:dyDescent="0.2">
      <c r="A133" s="97"/>
      <c r="B133" s="119" t="s">
        <v>177</v>
      </c>
      <c r="C133" s="103" t="s">
        <v>178</v>
      </c>
      <c r="D133" s="109"/>
      <c r="E133" s="105"/>
      <c r="F133" s="105"/>
      <c r="G133" s="105">
        <v>3000</v>
      </c>
      <c r="H133" s="105"/>
      <c r="I133" s="105"/>
      <c r="J133" s="105"/>
      <c r="K133" s="5"/>
      <c r="L133" s="5"/>
      <c r="M133" s="5"/>
    </row>
    <row r="134" spans="1:13" s="14" customFormat="1" ht="24" customHeight="1" x14ac:dyDescent="0.2">
      <c r="A134" s="97" t="s">
        <v>179</v>
      </c>
      <c r="B134" s="109" t="s">
        <v>180</v>
      </c>
      <c r="C134" s="115" t="s">
        <v>181</v>
      </c>
      <c r="D134" s="109"/>
      <c r="E134" s="110">
        <f>E135</f>
        <v>380.64</v>
      </c>
      <c r="F134" s="110"/>
      <c r="G134" s="110">
        <f>G135</f>
        <v>3000</v>
      </c>
      <c r="H134" s="110">
        <f>H135</f>
        <v>7000</v>
      </c>
      <c r="I134" s="110">
        <f>I135</f>
        <v>7000</v>
      </c>
      <c r="J134" s="110">
        <f>J135</f>
        <v>7000</v>
      </c>
    </row>
    <row r="135" spans="1:13" s="4" customFormat="1" ht="24" customHeight="1" x14ac:dyDescent="0.2">
      <c r="A135" s="97"/>
      <c r="B135" s="102" t="s">
        <v>182</v>
      </c>
      <c r="C135" s="103" t="s">
        <v>183</v>
      </c>
      <c r="D135" s="109"/>
      <c r="E135" s="105">
        <v>380.64</v>
      </c>
      <c r="F135" s="105"/>
      <c r="G135" s="105">
        <v>3000</v>
      </c>
      <c r="H135" s="105">
        <v>7000</v>
      </c>
      <c r="I135" s="105">
        <v>7000</v>
      </c>
      <c r="J135" s="105">
        <v>7000</v>
      </c>
      <c r="K135" s="3"/>
      <c r="L135" s="3"/>
      <c r="M135" s="3"/>
    </row>
    <row r="136" spans="1:13" s="14" customFormat="1" ht="24" customHeight="1" x14ac:dyDescent="0.2">
      <c r="A136" s="97" t="s">
        <v>184</v>
      </c>
      <c r="B136" s="109" t="s">
        <v>185</v>
      </c>
      <c r="C136" s="115" t="s">
        <v>186</v>
      </c>
      <c r="D136" s="109"/>
      <c r="E136" s="110">
        <f>E137</f>
        <v>71.73</v>
      </c>
      <c r="F136" s="110"/>
      <c r="G136" s="110">
        <f>G137</f>
        <v>100</v>
      </c>
      <c r="H136" s="110">
        <f>H137</f>
        <v>5000</v>
      </c>
      <c r="I136" s="110">
        <f>I137</f>
        <v>5000</v>
      </c>
      <c r="J136" s="110">
        <f>J137</f>
        <v>5000</v>
      </c>
    </row>
    <row r="137" spans="1:13" s="6" customFormat="1" ht="24" customHeight="1" x14ac:dyDescent="0.2">
      <c r="A137" s="97"/>
      <c r="B137" s="102" t="s">
        <v>187</v>
      </c>
      <c r="C137" s="103" t="s">
        <v>188</v>
      </c>
      <c r="D137" s="109"/>
      <c r="E137" s="105">
        <v>71.73</v>
      </c>
      <c r="F137" s="105"/>
      <c r="G137" s="105">
        <v>100</v>
      </c>
      <c r="H137" s="105">
        <v>5000</v>
      </c>
      <c r="I137" s="105">
        <v>5000</v>
      </c>
      <c r="J137" s="105">
        <v>5000</v>
      </c>
      <c r="K137" s="5"/>
      <c r="L137" s="5"/>
      <c r="M137" s="5"/>
    </row>
    <row r="138" spans="1:13" s="14" customFormat="1" ht="24" customHeight="1" x14ac:dyDescent="0.2">
      <c r="A138" s="97" t="s">
        <v>189</v>
      </c>
      <c r="B138" s="109" t="s">
        <v>190</v>
      </c>
      <c r="C138" s="115" t="s">
        <v>191</v>
      </c>
      <c r="D138" s="109"/>
      <c r="E138" s="110">
        <f>E139+E140+E141+E143+E144+E142</f>
        <v>4643.84</v>
      </c>
      <c r="F138" s="110"/>
      <c r="G138" s="110">
        <f>G139+G140+G141+G143+G144+G142</f>
        <v>8418</v>
      </c>
      <c r="H138" s="110">
        <f>H139+H140+H141+H143+H144+H142</f>
        <v>10050</v>
      </c>
      <c r="I138" s="110">
        <f>I139+I140+I141+I143+I144+I142</f>
        <v>10050</v>
      </c>
      <c r="J138" s="110">
        <f>J139+J140+J141+J143+J144+J142</f>
        <v>10050</v>
      </c>
    </row>
    <row r="139" spans="1:13" s="5" customFormat="1" ht="24" customHeight="1" x14ac:dyDescent="0.2">
      <c r="A139" s="97"/>
      <c r="B139" s="102" t="s">
        <v>192</v>
      </c>
      <c r="C139" s="103" t="s">
        <v>193</v>
      </c>
      <c r="D139" s="109"/>
      <c r="E139" s="105">
        <v>15</v>
      </c>
      <c r="F139" s="105"/>
      <c r="G139" s="105">
        <v>100</v>
      </c>
      <c r="H139" s="105">
        <v>100</v>
      </c>
      <c r="I139" s="105">
        <v>100</v>
      </c>
      <c r="J139" s="105">
        <v>100</v>
      </c>
    </row>
    <row r="140" spans="1:13" s="5" customFormat="1" ht="24" customHeight="1" x14ac:dyDescent="0.2">
      <c r="A140" s="97"/>
      <c r="B140" s="102" t="s">
        <v>194</v>
      </c>
      <c r="C140" s="103" t="s">
        <v>195</v>
      </c>
      <c r="D140" s="109"/>
      <c r="E140" s="105">
        <v>4026</v>
      </c>
      <c r="F140" s="105"/>
      <c r="G140" s="105">
        <v>4026</v>
      </c>
      <c r="H140" s="105">
        <v>5300</v>
      </c>
      <c r="I140" s="105">
        <v>5300</v>
      </c>
      <c r="J140" s="105">
        <v>5300</v>
      </c>
    </row>
    <row r="141" spans="1:13" s="5" customFormat="1" ht="24" customHeight="1" x14ac:dyDescent="0.2">
      <c r="A141" s="97"/>
      <c r="B141" s="102" t="s">
        <v>196</v>
      </c>
      <c r="C141" s="103" t="s">
        <v>197</v>
      </c>
      <c r="D141" s="109"/>
      <c r="E141" s="105">
        <v>391.58</v>
      </c>
      <c r="F141" s="105" t="s">
        <v>198</v>
      </c>
      <c r="G141" s="105">
        <v>500</v>
      </c>
      <c r="H141" s="105">
        <v>500</v>
      </c>
      <c r="I141" s="105">
        <v>500</v>
      </c>
      <c r="J141" s="105">
        <v>500</v>
      </c>
    </row>
    <row r="142" spans="1:13" s="5" customFormat="1" ht="24" customHeight="1" x14ac:dyDescent="0.2">
      <c r="A142" s="97"/>
      <c r="B142" s="102" t="s">
        <v>199</v>
      </c>
      <c r="C142" s="103" t="s">
        <v>200</v>
      </c>
      <c r="D142" s="109"/>
      <c r="E142" s="105"/>
      <c r="F142" s="105"/>
      <c r="G142" s="105">
        <v>3500</v>
      </c>
      <c r="H142" s="105">
        <v>3500</v>
      </c>
      <c r="I142" s="105">
        <v>3500</v>
      </c>
      <c r="J142" s="105">
        <v>3500</v>
      </c>
    </row>
    <row r="143" spans="1:13" s="6" customFormat="1" ht="24" customHeight="1" x14ac:dyDescent="0.2">
      <c r="A143" s="97"/>
      <c r="B143" s="120" t="s">
        <v>201</v>
      </c>
      <c r="C143" s="103" t="s">
        <v>202</v>
      </c>
      <c r="D143" s="109"/>
      <c r="E143" s="105">
        <v>192</v>
      </c>
      <c r="F143" s="105" t="s">
        <v>203</v>
      </c>
      <c r="G143" s="105">
        <v>192</v>
      </c>
      <c r="H143" s="105">
        <f>150</f>
        <v>150</v>
      </c>
      <c r="I143" s="105">
        <v>150</v>
      </c>
      <c r="J143" s="105">
        <v>150</v>
      </c>
      <c r="K143" s="5"/>
      <c r="L143" s="5"/>
      <c r="M143" s="5"/>
    </row>
    <row r="144" spans="1:13" s="6" customFormat="1" ht="24" customHeight="1" x14ac:dyDescent="0.2">
      <c r="A144" s="97"/>
      <c r="B144" s="120" t="s">
        <v>204</v>
      </c>
      <c r="C144" s="103" t="s">
        <v>205</v>
      </c>
      <c r="D144" s="109"/>
      <c r="E144" s="105">
        <v>19.260000000000002</v>
      </c>
      <c r="F144" s="105"/>
      <c r="G144" s="105">
        <v>100</v>
      </c>
      <c r="H144" s="105">
        <v>500</v>
      </c>
      <c r="I144" s="105">
        <v>500</v>
      </c>
      <c r="J144" s="105">
        <v>500</v>
      </c>
      <c r="K144" s="5"/>
      <c r="L144" s="5"/>
      <c r="M144" s="5"/>
    </row>
    <row r="145" spans="1:13" s="15" customFormat="1" ht="24" customHeight="1" x14ac:dyDescent="0.2">
      <c r="A145" s="97" t="s">
        <v>206</v>
      </c>
      <c r="B145" s="116" t="s">
        <v>207</v>
      </c>
      <c r="C145" s="117" t="s">
        <v>208</v>
      </c>
      <c r="D145" s="116"/>
      <c r="E145" s="118">
        <f>E146+E147+E149</f>
        <v>6262.49</v>
      </c>
      <c r="F145" s="118"/>
      <c r="G145" s="118">
        <f>G146+G147+G149</f>
        <v>7214.3499999999995</v>
      </c>
      <c r="H145" s="118">
        <f>H146+H147+H149+H148</f>
        <v>13067.15</v>
      </c>
      <c r="I145" s="118">
        <f>I146+I147+I149+I148</f>
        <v>13067.15</v>
      </c>
      <c r="J145" s="118">
        <f>J146+J147+J149+J148</f>
        <v>13067.15</v>
      </c>
    </row>
    <row r="146" spans="1:13" s="5" customFormat="1" ht="24" customHeight="1" x14ac:dyDescent="0.2">
      <c r="A146" s="97"/>
      <c r="B146" s="120" t="s">
        <v>209</v>
      </c>
      <c r="C146" s="103" t="s">
        <v>210</v>
      </c>
      <c r="D146" s="109"/>
      <c r="E146" s="105">
        <v>4895.1499999999996</v>
      </c>
      <c r="F146" s="105" t="s">
        <v>211</v>
      </c>
      <c r="G146" s="105">
        <f>E146+805.2</f>
        <v>5700.3499999999995</v>
      </c>
      <c r="H146" s="105">
        <f>3220+500+1400+450+300+497.15+1200</f>
        <v>7567.15</v>
      </c>
      <c r="I146" s="105">
        <f>3220+500+1400+450+300+497.15+200+1000</f>
        <v>7567.15</v>
      </c>
      <c r="J146" s="105">
        <f>3220+500+1400+450+300+497.15+1200</f>
        <v>7567.15</v>
      </c>
      <c r="K146" s="136"/>
      <c r="L146" s="136"/>
      <c r="M146" s="136"/>
    </row>
    <row r="147" spans="1:13" s="5" customFormat="1" ht="24" customHeight="1" x14ac:dyDescent="0.2">
      <c r="A147" s="97"/>
      <c r="B147" s="120" t="s">
        <v>212</v>
      </c>
      <c r="C147" s="103" t="s">
        <v>213</v>
      </c>
      <c r="D147" s="109"/>
      <c r="E147" s="105">
        <v>953.34</v>
      </c>
      <c r="F147" s="105" t="s">
        <v>214</v>
      </c>
      <c r="G147" s="105">
        <v>1100</v>
      </c>
      <c r="H147" s="105">
        <f>1100+900</f>
        <v>2000</v>
      </c>
      <c r="I147" s="105">
        <f t="shared" ref="I147:J147" si="9">1100+900</f>
        <v>2000</v>
      </c>
      <c r="J147" s="105">
        <f t="shared" si="9"/>
        <v>2000</v>
      </c>
    </row>
    <row r="148" spans="1:13" s="5" customFormat="1" ht="24" customHeight="1" x14ac:dyDescent="0.2">
      <c r="A148" s="97"/>
      <c r="B148" s="120" t="s">
        <v>215</v>
      </c>
      <c r="C148" s="103" t="s">
        <v>272</v>
      </c>
      <c r="D148" s="109"/>
      <c r="E148" s="105"/>
      <c r="F148" s="105"/>
      <c r="G148" s="105"/>
      <c r="H148" s="105">
        <v>1500</v>
      </c>
      <c r="I148" s="105">
        <v>1500</v>
      </c>
      <c r="J148" s="105">
        <v>1500</v>
      </c>
    </row>
    <row r="149" spans="1:13" s="5" customFormat="1" ht="24" customHeight="1" x14ac:dyDescent="0.2">
      <c r="A149" s="97"/>
      <c r="B149" s="120" t="s">
        <v>216</v>
      </c>
      <c r="C149" s="103" t="s">
        <v>217</v>
      </c>
      <c r="D149" s="109"/>
      <c r="E149" s="105">
        <v>414</v>
      </c>
      <c r="F149" s="105" t="s">
        <v>218</v>
      </c>
      <c r="G149" s="105">
        <v>414</v>
      </c>
      <c r="H149" s="105">
        <v>2000</v>
      </c>
      <c r="I149" s="105">
        <v>2000</v>
      </c>
      <c r="J149" s="105">
        <v>2000</v>
      </c>
    </row>
    <row r="150" spans="1:13" s="15" customFormat="1" ht="24" customHeight="1" x14ac:dyDescent="0.2">
      <c r="A150" s="97" t="s">
        <v>219</v>
      </c>
      <c r="B150" s="116" t="s">
        <v>220</v>
      </c>
      <c r="C150" s="117" t="s">
        <v>221</v>
      </c>
      <c r="D150" s="116"/>
      <c r="E150" s="118">
        <f>E151+E154+E157</f>
        <v>166658.74</v>
      </c>
      <c r="F150" s="118"/>
      <c r="G150" s="118">
        <f>G151+G154+G157+G153+G159</f>
        <v>212255.01</v>
      </c>
      <c r="H150" s="118">
        <f>H151+H154+H157+H159</f>
        <v>228424.52999999997</v>
      </c>
      <c r="I150" s="118">
        <f>I151+I154+I157+I159</f>
        <v>210728.35</v>
      </c>
      <c r="J150" s="118">
        <f>J151+J154+J157+J159</f>
        <v>247727.2</v>
      </c>
      <c r="K150" s="57"/>
    </row>
    <row r="151" spans="1:13" s="13" customFormat="1" ht="24" customHeight="1" x14ac:dyDescent="0.2">
      <c r="A151" s="97" t="s">
        <v>222</v>
      </c>
      <c r="B151" s="121" t="s">
        <v>223</v>
      </c>
      <c r="C151" s="122" t="s">
        <v>224</v>
      </c>
      <c r="D151" s="109"/>
      <c r="E151" s="105">
        <f>E152+E153</f>
        <v>132443.51</v>
      </c>
      <c r="F151" s="105"/>
      <c r="G151" s="105">
        <f>224008.06-12383.83</f>
        <v>211624.23</v>
      </c>
      <c r="H151" s="105">
        <f t="shared" ref="H151:J151" si="10">H152</f>
        <v>178887.61</v>
      </c>
      <c r="I151" s="105">
        <f t="shared" si="10"/>
        <v>164573.6</v>
      </c>
      <c r="J151" s="105">
        <f t="shared" si="10"/>
        <v>194075.92</v>
      </c>
    </row>
    <row r="152" spans="1:13" s="6" customFormat="1" ht="24" customHeight="1" x14ac:dyDescent="0.2">
      <c r="A152" s="97"/>
      <c r="B152" s="123" t="s">
        <v>225</v>
      </c>
      <c r="C152" s="124" t="s">
        <v>226</v>
      </c>
      <c r="D152" s="109"/>
      <c r="E152" s="105">
        <v>131812.73000000001</v>
      </c>
      <c r="F152" s="105"/>
      <c r="G152" s="105"/>
      <c r="H152" s="105">
        <v>178887.61</v>
      </c>
      <c r="I152" s="105">
        <v>164573.6</v>
      </c>
      <c r="J152" s="105">
        <f>I152+29502.32</f>
        <v>194075.92</v>
      </c>
      <c r="K152" s="5"/>
      <c r="L152" s="5"/>
      <c r="M152" s="5"/>
    </row>
    <row r="153" spans="1:13" s="6" customFormat="1" ht="24" customHeight="1" x14ac:dyDescent="0.2">
      <c r="A153" s="97"/>
      <c r="B153" s="123" t="s">
        <v>227</v>
      </c>
      <c r="C153" s="124" t="s">
        <v>228</v>
      </c>
      <c r="D153" s="109"/>
      <c r="E153" s="105">
        <v>630.78</v>
      </c>
      <c r="F153" s="105"/>
      <c r="G153" s="105">
        <f>E153</f>
        <v>630.78</v>
      </c>
      <c r="H153" s="105"/>
      <c r="I153" s="105"/>
      <c r="J153" s="105"/>
      <c r="K153" s="5"/>
      <c r="L153" s="5"/>
      <c r="M153" s="5"/>
    </row>
    <row r="154" spans="1:13" s="14" customFormat="1" ht="24" customHeight="1" x14ac:dyDescent="0.2">
      <c r="A154" s="97" t="s">
        <v>229</v>
      </c>
      <c r="B154" s="121" t="s">
        <v>230</v>
      </c>
      <c r="C154" s="122" t="s">
        <v>231</v>
      </c>
      <c r="D154" s="109"/>
      <c r="E154" s="105">
        <f>E155+E156</f>
        <v>33493.93</v>
      </c>
      <c r="F154" s="105"/>
      <c r="G154" s="105">
        <f t="shared" ref="G154" si="11">G155+G156</f>
        <v>0</v>
      </c>
      <c r="H154" s="105">
        <f>H155+H156</f>
        <v>44246.92</v>
      </c>
      <c r="I154" s="105">
        <f>I155+I156</f>
        <v>40864.749999999993</v>
      </c>
      <c r="J154" s="105">
        <f>J155+J156</f>
        <v>48361.280000000006</v>
      </c>
    </row>
    <row r="155" spans="1:13" s="6" customFormat="1" ht="24" customHeight="1" x14ac:dyDescent="0.2">
      <c r="A155" s="97"/>
      <c r="B155" s="123" t="s">
        <v>232</v>
      </c>
      <c r="C155" s="124" t="s">
        <v>233</v>
      </c>
      <c r="D155" s="109"/>
      <c r="E155" s="105">
        <v>2122.33</v>
      </c>
      <c r="F155" s="105"/>
      <c r="G155" s="105"/>
      <c r="H155" s="105">
        <v>2681.47</v>
      </c>
      <c r="I155" s="105">
        <v>2471.35</v>
      </c>
      <c r="J155" s="105">
        <f>2471.35+474.98</f>
        <v>2946.33</v>
      </c>
      <c r="K155" s="5"/>
      <c r="L155" s="5"/>
      <c r="M155" s="5"/>
    </row>
    <row r="156" spans="1:13" s="6" customFormat="1" ht="24" customHeight="1" x14ac:dyDescent="0.2">
      <c r="A156" s="97"/>
      <c r="B156" s="123" t="s">
        <v>234</v>
      </c>
      <c r="C156" s="124" t="s">
        <v>235</v>
      </c>
      <c r="D156" s="109"/>
      <c r="E156" s="105">
        <v>31371.599999999999</v>
      </c>
      <c r="F156" s="105"/>
      <c r="G156" s="105"/>
      <c r="H156" s="105">
        <f>39639.13+1926.32</f>
        <v>41565.449999999997</v>
      </c>
      <c r="I156" s="105">
        <f>41565.45-3106.14-65.91</f>
        <v>38393.399999999994</v>
      </c>
      <c r="J156" s="105">
        <f>38393.4+7021.55</f>
        <v>45414.950000000004</v>
      </c>
      <c r="K156" s="5"/>
      <c r="L156" s="5"/>
      <c r="M156" s="5"/>
    </row>
    <row r="157" spans="1:13" s="14" customFormat="1" ht="24" customHeight="1" x14ac:dyDescent="0.2">
      <c r="A157" s="97" t="s">
        <v>236</v>
      </c>
      <c r="B157" s="125" t="s">
        <v>237</v>
      </c>
      <c r="C157" s="103" t="s">
        <v>238</v>
      </c>
      <c r="D157" s="109"/>
      <c r="E157" s="105">
        <f>E158</f>
        <v>721.3</v>
      </c>
      <c r="F157" s="105"/>
      <c r="G157" s="105">
        <f t="shared" ref="G157" si="12">G158</f>
        <v>0</v>
      </c>
      <c r="H157" s="105">
        <f>H158</f>
        <v>2290</v>
      </c>
      <c r="I157" s="105">
        <f t="shared" ref="I157:J157" si="13">I158</f>
        <v>2290</v>
      </c>
      <c r="J157" s="105">
        <f t="shared" si="13"/>
        <v>2290</v>
      </c>
    </row>
    <row r="158" spans="1:13" s="6" customFormat="1" ht="24" customHeight="1" x14ac:dyDescent="0.2">
      <c r="A158" s="97"/>
      <c r="B158" s="123" t="s">
        <v>239</v>
      </c>
      <c r="C158" s="124" t="s">
        <v>240</v>
      </c>
      <c r="D158" s="109"/>
      <c r="E158" s="105">
        <v>721.3</v>
      </c>
      <c r="F158" s="105"/>
      <c r="G158" s="105"/>
      <c r="H158" s="105">
        <v>2290</v>
      </c>
      <c r="I158" s="105">
        <v>2290</v>
      </c>
      <c r="J158" s="105">
        <v>2290</v>
      </c>
      <c r="K158" s="5"/>
      <c r="L158" s="5"/>
      <c r="M158" s="5"/>
    </row>
    <row r="159" spans="1:13" s="6" customFormat="1" ht="24" customHeight="1" x14ac:dyDescent="0.2">
      <c r="A159" s="97"/>
      <c r="B159" s="123" t="s">
        <v>241</v>
      </c>
      <c r="C159" s="124" t="s">
        <v>242</v>
      </c>
      <c r="D159" s="109"/>
      <c r="E159" s="105"/>
      <c r="F159" s="105"/>
      <c r="G159" s="105"/>
      <c r="H159" s="105">
        <v>3000</v>
      </c>
      <c r="I159" s="105">
        <v>3000</v>
      </c>
      <c r="J159" s="105">
        <v>3000</v>
      </c>
      <c r="K159" s="5"/>
      <c r="L159" s="5"/>
      <c r="M159" s="5"/>
    </row>
    <row r="160" spans="1:13" s="4" customFormat="1" ht="24" customHeight="1" x14ac:dyDescent="0.2">
      <c r="A160" s="97" t="s">
        <v>243</v>
      </c>
      <c r="B160" s="116" t="s">
        <v>244</v>
      </c>
      <c r="C160" s="117" t="s">
        <v>245</v>
      </c>
      <c r="D160" s="116"/>
      <c r="E160" s="118"/>
      <c r="F160" s="118"/>
      <c r="G160" s="118">
        <f>G161+G162</f>
        <v>5753.68</v>
      </c>
      <c r="H160" s="118">
        <f>H161+H162</f>
        <v>7052.23</v>
      </c>
      <c r="I160" s="118">
        <f>I161+I162</f>
        <v>5230.12</v>
      </c>
      <c r="J160" s="118">
        <f>J161+J162</f>
        <v>3271.33</v>
      </c>
    </row>
    <row r="161" spans="1:13" s="3" customFormat="1" ht="24" customHeight="1" x14ac:dyDescent="0.2">
      <c r="A161" s="97"/>
      <c r="B161" s="109" t="s">
        <v>246</v>
      </c>
      <c r="C161" s="115" t="s">
        <v>247</v>
      </c>
      <c r="D161" s="109"/>
      <c r="E161" s="110"/>
      <c r="F161" s="110"/>
      <c r="G161" s="110">
        <v>3729.21</v>
      </c>
      <c r="H161" s="110">
        <v>3729.76</v>
      </c>
      <c r="I161" s="110">
        <v>1907.65</v>
      </c>
      <c r="J161" s="110"/>
    </row>
    <row r="162" spans="1:13" s="3" customFormat="1" ht="24" customHeight="1" x14ac:dyDescent="0.2">
      <c r="A162" s="97"/>
      <c r="B162" s="109" t="s">
        <v>248</v>
      </c>
      <c r="C162" s="115" t="s">
        <v>249</v>
      </c>
      <c r="D162" s="109"/>
      <c r="E162" s="110"/>
      <c r="F162" s="110"/>
      <c r="G162" s="110">
        <v>2024.47</v>
      </c>
      <c r="H162" s="110">
        <f>3122.47+200</f>
        <v>3322.47</v>
      </c>
      <c r="I162" s="110">
        <f>3122.47+200</f>
        <v>3322.47</v>
      </c>
      <c r="J162" s="110">
        <f>3071.33+200</f>
        <v>3271.33</v>
      </c>
    </row>
    <row r="163" spans="1:13" s="4" customFormat="1" ht="24" hidden="1" customHeight="1" x14ac:dyDescent="0.2">
      <c r="A163" s="97"/>
      <c r="B163" s="109"/>
      <c r="C163" s="115"/>
      <c r="D163" s="109"/>
      <c r="E163" s="110"/>
      <c r="F163" s="110"/>
      <c r="G163" s="110"/>
      <c r="H163" s="110"/>
      <c r="I163" s="110"/>
      <c r="J163" s="110"/>
      <c r="K163" s="3"/>
      <c r="L163" s="3"/>
      <c r="M163" s="3"/>
    </row>
    <row r="164" spans="1:13" s="15" customFormat="1" ht="24" customHeight="1" x14ac:dyDescent="0.2">
      <c r="A164" s="97" t="s">
        <v>250</v>
      </c>
      <c r="B164" s="116" t="s">
        <v>251</v>
      </c>
      <c r="C164" s="117" t="s">
        <v>252</v>
      </c>
      <c r="D164" s="116"/>
      <c r="E164" s="118">
        <f>E165+E166</f>
        <v>59.44</v>
      </c>
      <c r="F164" s="118"/>
      <c r="G164" s="118">
        <f>G165</f>
        <v>100</v>
      </c>
      <c r="H164" s="118">
        <f t="shared" ref="H164:J164" si="14">H165</f>
        <v>100</v>
      </c>
      <c r="I164" s="118">
        <f t="shared" si="14"/>
        <v>100</v>
      </c>
      <c r="J164" s="118">
        <f t="shared" si="14"/>
        <v>100</v>
      </c>
    </row>
    <row r="165" spans="1:13" s="18" customFormat="1" ht="24" customHeight="1" x14ac:dyDescent="0.2">
      <c r="A165" s="98"/>
      <c r="B165" s="126" t="s">
        <v>253</v>
      </c>
      <c r="C165" s="115" t="s">
        <v>254</v>
      </c>
      <c r="D165" s="109"/>
      <c r="E165" s="110">
        <v>51.86</v>
      </c>
      <c r="F165" s="110"/>
      <c r="G165" s="110">
        <v>100</v>
      </c>
      <c r="H165" s="110">
        <v>100</v>
      </c>
      <c r="I165" s="110">
        <v>100</v>
      </c>
      <c r="J165" s="110">
        <v>100</v>
      </c>
      <c r="K165" s="17"/>
      <c r="L165" s="17"/>
      <c r="M165" s="17"/>
    </row>
    <row r="166" spans="1:13" s="18" customFormat="1" ht="24" customHeight="1" x14ac:dyDescent="0.2">
      <c r="A166" s="98"/>
      <c r="B166" s="126" t="s">
        <v>255</v>
      </c>
      <c r="C166" s="115" t="s">
        <v>256</v>
      </c>
      <c r="D166" s="109"/>
      <c r="E166" s="110">
        <v>7.58</v>
      </c>
      <c r="F166" s="110"/>
      <c r="G166" s="110"/>
      <c r="H166" s="110"/>
      <c r="I166" s="110"/>
      <c r="J166" s="110"/>
      <c r="K166" s="17"/>
      <c r="L166" s="17"/>
      <c r="M166" s="17"/>
    </row>
    <row r="167" spans="1:13" s="15" customFormat="1" ht="24" customHeight="1" x14ac:dyDescent="0.2">
      <c r="A167" s="97" t="s">
        <v>257</v>
      </c>
      <c r="B167" s="116" t="s">
        <v>258</v>
      </c>
      <c r="C167" s="117" t="s">
        <v>259</v>
      </c>
      <c r="D167" s="116"/>
      <c r="E167" s="118">
        <f>E168</f>
        <v>0.05</v>
      </c>
      <c r="F167" s="118"/>
      <c r="G167" s="118">
        <f>G168</f>
        <v>1440</v>
      </c>
      <c r="H167" s="118">
        <f>H168</f>
        <v>6400</v>
      </c>
      <c r="I167" s="118">
        <f>I168</f>
        <v>6400</v>
      </c>
      <c r="J167" s="118">
        <f>J168</f>
        <v>6400</v>
      </c>
    </row>
    <row r="168" spans="1:13" s="4" customFormat="1" ht="24" customHeight="1" x14ac:dyDescent="0.2">
      <c r="A168" s="97"/>
      <c r="B168" s="126" t="s">
        <v>260</v>
      </c>
      <c r="C168" s="115" t="s">
        <v>261</v>
      </c>
      <c r="D168" s="109"/>
      <c r="E168" s="110">
        <v>0.05</v>
      </c>
      <c r="F168" s="110" t="s">
        <v>262</v>
      </c>
      <c r="G168" s="110">
        <f>180000*0.8/100</f>
        <v>1440</v>
      </c>
      <c r="H168" s="110">
        <f>800000*0.8/100</f>
        <v>6400</v>
      </c>
      <c r="I168" s="110">
        <f>800000*0.8/100</f>
        <v>6400</v>
      </c>
      <c r="J168" s="110">
        <f>800000*0.8/100</f>
        <v>6400</v>
      </c>
      <c r="K168" s="3"/>
      <c r="L168" s="3"/>
      <c r="M168" s="3"/>
    </row>
    <row r="169" spans="1:13" s="58" customFormat="1" ht="24" customHeight="1" x14ac:dyDescent="0.2">
      <c r="A169" s="97" t="s">
        <v>263</v>
      </c>
      <c r="B169" s="127" t="s">
        <v>264</v>
      </c>
      <c r="C169" s="117" t="s">
        <v>265</v>
      </c>
      <c r="D169" s="116"/>
      <c r="E169" s="118">
        <f>E99-E111</f>
        <v>24245.069999999978</v>
      </c>
      <c r="F169" s="118"/>
      <c r="G169" s="118">
        <f>G99-G111</f>
        <v>177297.66999999998</v>
      </c>
      <c r="H169" s="118">
        <f>H99-H111</f>
        <v>-145043.64999999991</v>
      </c>
      <c r="I169" s="118">
        <f>I99-I111</f>
        <v>13951.950000000012</v>
      </c>
      <c r="J169" s="118">
        <f>J99-J111</f>
        <v>15711.450000000012</v>
      </c>
    </row>
    <row r="170" spans="1:13" s="6" customFormat="1" ht="24" customHeight="1" x14ac:dyDescent="0.2">
      <c r="B170" s="126" t="s">
        <v>266</v>
      </c>
      <c r="C170" s="115" t="s">
        <v>267</v>
      </c>
      <c r="D170" s="109"/>
      <c r="E170" s="110">
        <v>11204.09</v>
      </c>
      <c r="F170" s="110"/>
      <c r="G170" s="110">
        <f>(225.74*4)+184.34+92.44+11204.09</f>
        <v>12383.83</v>
      </c>
      <c r="H170" s="110">
        <v>14158.88</v>
      </c>
      <c r="I170" s="110">
        <f>14158.88-1109.34</f>
        <v>13049.539999999999</v>
      </c>
      <c r="J170" s="110">
        <f>13049.54+2507.69</f>
        <v>15557.230000000001</v>
      </c>
      <c r="K170" s="11"/>
      <c r="L170" s="5"/>
      <c r="M170" s="5"/>
    </row>
    <row r="171" spans="1:13" s="6" customFormat="1" ht="24" customHeight="1" x14ac:dyDescent="0.2">
      <c r="B171" s="112"/>
      <c r="C171" s="114"/>
      <c r="D171" s="112"/>
      <c r="E171" s="113">
        <f>E169-E170</f>
        <v>13040.979999999978</v>
      </c>
      <c r="F171" s="113"/>
      <c r="G171" s="113">
        <f t="shared" ref="G171:J171" si="15">G169-G170</f>
        <v>164913.84</v>
      </c>
      <c r="H171" s="113">
        <f t="shared" si="15"/>
        <v>-159202.52999999991</v>
      </c>
      <c r="I171" s="113">
        <f t="shared" si="15"/>
        <v>902.41000000001259</v>
      </c>
      <c r="J171" s="113">
        <f t="shared" si="15"/>
        <v>154.22000000001026</v>
      </c>
      <c r="K171" s="5"/>
      <c r="L171" s="5"/>
      <c r="M171" s="5"/>
    </row>
    <row r="172" spans="1:13" s="6" customFormat="1" ht="24" customHeight="1" x14ac:dyDescent="0.2">
      <c r="B172" s="90" t="s">
        <v>268</v>
      </c>
      <c r="C172" s="91" t="s">
        <v>269</v>
      </c>
      <c r="D172" s="90"/>
      <c r="E172" s="95">
        <f>E171</f>
        <v>13040.979999999978</v>
      </c>
      <c r="F172" s="95"/>
      <c r="G172" s="95">
        <f t="shared" ref="G172:J172" si="16">G171</f>
        <v>164913.84</v>
      </c>
      <c r="H172" s="95">
        <f t="shared" si="16"/>
        <v>-159202.52999999991</v>
      </c>
      <c r="I172" s="95">
        <f t="shared" si="16"/>
        <v>902.41000000001259</v>
      </c>
      <c r="J172" s="95">
        <f t="shared" si="16"/>
        <v>154.22000000001026</v>
      </c>
      <c r="K172" s="5"/>
      <c r="L172" s="5"/>
      <c r="M172" s="5"/>
    </row>
    <row r="173" spans="1:13" s="9" customFormat="1" ht="23.45" customHeight="1" x14ac:dyDescent="0.2">
      <c r="B173" s="77"/>
      <c r="C173" s="80"/>
      <c r="D173" s="77"/>
      <c r="E173" s="80"/>
      <c r="F173" s="77"/>
      <c r="G173" s="77"/>
      <c r="H173" s="77"/>
      <c r="I173" s="77"/>
      <c r="J173" s="80"/>
      <c r="K173" s="2"/>
      <c r="L173" s="2"/>
      <c r="M173" s="2"/>
    </row>
    <row r="174" spans="1:13" s="9" customFormat="1" ht="30" customHeight="1" x14ac:dyDescent="0.2">
      <c r="B174" s="132" t="s">
        <v>270</v>
      </c>
      <c r="C174" s="132" t="s">
        <v>271</v>
      </c>
      <c r="D174" s="77"/>
      <c r="E174" s="80"/>
      <c r="F174" s="77"/>
      <c r="G174" s="80"/>
      <c r="H174" s="77"/>
      <c r="I174" s="77"/>
      <c r="J174" s="80"/>
      <c r="K174" s="2"/>
      <c r="L174" s="2"/>
      <c r="M174" s="2"/>
    </row>
    <row r="175" spans="1:13" s="9" customFormat="1" ht="37.15" customHeight="1" x14ac:dyDescent="0.2">
      <c r="B175" s="134"/>
      <c r="C175" s="133"/>
      <c r="D175" s="77"/>
      <c r="E175" s="80"/>
      <c r="F175" s="77"/>
      <c r="G175" s="77"/>
      <c r="H175" s="77"/>
      <c r="I175" s="77"/>
      <c r="J175" s="80"/>
      <c r="K175" s="2"/>
      <c r="L175" s="2"/>
      <c r="M175" s="2"/>
    </row>
    <row r="176" spans="1:13" ht="15.75" customHeight="1" x14ac:dyDescent="0.2">
      <c r="G176" s="80"/>
    </row>
    <row r="179" spans="7:8" ht="15.75" customHeight="1" x14ac:dyDescent="0.2">
      <c r="G179" s="80"/>
    </row>
    <row r="180" spans="7:8" ht="15.75" customHeight="1" x14ac:dyDescent="0.2">
      <c r="G180" s="82"/>
    </row>
    <row r="181" spans="7:8" ht="15.75" customHeight="1" x14ac:dyDescent="0.2">
      <c r="G181" s="82"/>
    </row>
    <row r="182" spans="7:8" ht="21.75" customHeight="1" x14ac:dyDescent="0.2">
      <c r="G182" s="82"/>
      <c r="H182" s="82"/>
    </row>
    <row r="184" spans="7:8" ht="42" customHeight="1" x14ac:dyDescent="0.2"/>
    <row r="185" spans="7:8" ht="19.5" customHeight="1" x14ac:dyDescent="0.2"/>
    <row r="186" spans="7:8" ht="27.75" customHeight="1" x14ac:dyDescent="0.2"/>
    <row r="187" spans="7:8" ht="28.5" customHeight="1" x14ac:dyDescent="0.2"/>
    <row r="193" spans="7:7" ht="15.75" customHeight="1" x14ac:dyDescent="0.2">
      <c r="G193" s="82"/>
    </row>
    <row r="194" spans="7:7" ht="15.75" customHeight="1" x14ac:dyDescent="0.2">
      <c r="G194" s="135"/>
    </row>
    <row r="195" spans="7:7" ht="15.75" customHeight="1" x14ac:dyDescent="0.2">
      <c r="G195" s="82"/>
    </row>
  </sheetData>
  <sheetProtection selectLockedCells="1" selectUnlockedCells="1"/>
  <mergeCells count="1">
    <mergeCell ref="K146:M146"/>
  </mergeCells>
  <printOptions horizontalCentered="1"/>
  <pageMargins left="0.35433070866141736" right="0.35433070866141736" top="0.39370078740157483" bottom="0.59055118110236227" header="0.23622047244094491" footer="0.51181102362204722"/>
  <pageSetup paperSize="8" scale="48" firstPageNumber="0" orientation="portrait" r:id="rId1"/>
  <headerFooter alignWithMargins="0">
    <oddHeader>&amp;L&amp;"Arial,Grassetto"&amp;12GECT GO / EZTS GO&amp;R&amp;D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E32413B0467F4782AAE82AE8CC2D63" ma:contentTypeVersion="6" ma:contentTypeDescription="Creare un nuovo documento." ma:contentTypeScope="" ma:versionID="12a11742c07a3b92d583b8bdf9d11c87">
  <xsd:schema xmlns:xsd="http://www.w3.org/2001/XMLSchema" xmlns:xs="http://www.w3.org/2001/XMLSchema" xmlns:p="http://schemas.microsoft.com/office/2006/metadata/properties" xmlns:ns2="2d84c46d-d80f-45f9-9667-6867016065f9" xmlns:ns3="93be59e3-129f-4f51-bcce-a0522aded1aa" targetNamespace="http://schemas.microsoft.com/office/2006/metadata/properties" ma:root="true" ma:fieldsID="88a4dd23f0c49d78414871484805bec6" ns2:_="" ns3:_="">
    <xsd:import namespace="2d84c46d-d80f-45f9-9667-6867016065f9"/>
    <xsd:import namespace="93be59e3-129f-4f51-bcce-a0522aded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4c46d-d80f-45f9-9667-68670160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9e3-129f-4f51-bcce-a0522ade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0084C-D8FF-4A77-9C25-E536733D491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93be59e3-129f-4f51-bcce-a0522aded1aa"/>
    <ds:schemaRef ds:uri="http://purl.org/dc/dcmitype/"/>
    <ds:schemaRef ds:uri="http://schemas.microsoft.com/office/infopath/2007/PartnerControls"/>
    <ds:schemaRef ds:uri="2d84c46d-d80f-45f9-9667-6867016065f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3B4F54-919F-45B7-ADD5-44679BC66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B639A-9571-48EB-8EA6-E6CFA6725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4c46d-d80f-45f9-9667-6867016065f9"/>
    <ds:schemaRef ds:uri="93be59e3-129f-4f51-bcce-a0522aded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C.ECON.2019-2021 FINAL</vt:lpstr>
      <vt:lpstr>'C.ECON.2019-2021 FINAL'!__xlnm_Print_Area</vt:lpstr>
      <vt:lpstr>'C.ECON.2019-2021 FINAL'!Area_stampa</vt:lpstr>
      <vt:lpstr>'C.ECON.2019-2021 FINAL'!Excel_BuiltIn_Print_Area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GECT GO</dc:title>
  <dc:subject/>
  <dc:creator>Laura Graba</dc:creator>
  <cp:keywords/>
  <dc:description/>
  <cp:lastModifiedBy>Laura Graba</cp:lastModifiedBy>
  <cp:revision/>
  <cp:lastPrinted>2018-12-14T11:47:08Z</cp:lastPrinted>
  <dcterms:created xsi:type="dcterms:W3CDTF">2017-12-12T10:15:41Z</dcterms:created>
  <dcterms:modified xsi:type="dcterms:W3CDTF">2019-04-19T10:44:31Z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0x01010007E32413B0467F4782AAE82AE8CC2D63</vt:lpwstr>
  </property>
</Properties>
</file>